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V:\350_子ども・健康保険課\02_国保年金班\02_国保庶務\HP編集・広報はさみ原稿・放送依頼ほか\HP ホームページ編集\1.国民健康保険\"/>
    </mc:Choice>
  </mc:AlternateContent>
  <xr:revisionPtr revIDLastSave="0" documentId="13_ncr:1_{47B86AB6-5309-4F1B-A5DE-9651541E9855}" xr6:coauthVersionLast="47" xr6:coauthVersionMax="47" xr10:uidLastSave="{00000000-0000-0000-0000-000000000000}"/>
  <bookViews>
    <workbookView xWindow="-120" yWindow="-120" windowWidth="29040" windowHeight="15840" xr2:uid="{00000000-000D-0000-FFFF-FFFF00000000}"/>
  </bookViews>
  <sheets>
    <sheet name="新国保世帯用入力 " sheetId="1" r:id="rId1"/>
    <sheet name="リスト" sheetId="2" r:id="rId2"/>
    <sheet name="年金所得への変更用" sheetId="3" r:id="rId3"/>
  </sheets>
  <definedNames>
    <definedName name="A">リスト!$H$15</definedName>
    <definedName name="B">リスト!$I$15</definedName>
    <definedName name="D">リスト!$K$15:$K$17</definedName>
    <definedName name="E">リスト!$L$15:$L$17</definedName>
    <definedName name="F">リスト!$M$15</definedName>
    <definedName name="G">リスト!$N$15</definedName>
    <definedName name="H">リスト!$J$15:$J$17</definedName>
    <definedName name="_xlnm.Print_Area" localSheetId="0">'新国保世帯用入力 '!$B$1:$AR$45</definedName>
    <definedName name="国保に入らない">リスト!$C$15:$C$21</definedName>
    <definedName name="国保加入者">リスト!$E$15:$E$20</definedName>
    <definedName name="国保加入者１">リスト!$D$15:$D$20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3" i="1" l="1"/>
  <c r="M44" i="1"/>
  <c r="M42" i="1"/>
  <c r="N42" i="1"/>
  <c r="N44" i="1"/>
  <c r="N43" i="1"/>
  <c r="O44" i="1"/>
  <c r="O43" i="1"/>
  <c r="AL35" i="1" l="1"/>
  <c r="AL33" i="1"/>
  <c r="AL31" i="1"/>
  <c r="AL29" i="1"/>
  <c r="AE35" i="1"/>
  <c r="AE33" i="1"/>
  <c r="AE31" i="1"/>
  <c r="AE29" i="1"/>
  <c r="X35" i="1"/>
  <c r="X33" i="1"/>
  <c r="X31" i="1"/>
  <c r="X29" i="1"/>
  <c r="AJ35" i="1"/>
  <c r="AJ33" i="1"/>
  <c r="AJ31" i="1"/>
  <c r="AJ29" i="1"/>
  <c r="AC29" i="1"/>
  <c r="AC31" i="1"/>
  <c r="AC33" i="1"/>
  <c r="N17" i="1"/>
  <c r="R40" i="1" l="1"/>
  <c r="G9" i="1"/>
  <c r="N35" i="1"/>
  <c r="N33" i="1"/>
  <c r="N31" i="1"/>
  <c r="N29" i="1"/>
  <c r="N27" i="1"/>
  <c r="AL27" i="1" s="1"/>
  <c r="N25" i="1"/>
  <c r="N23" i="1"/>
  <c r="AL23" i="1" s="1"/>
  <c r="N21" i="1"/>
  <c r="N19" i="1"/>
  <c r="AL40" i="1" s="1"/>
  <c r="AQ33" i="1" l="1"/>
  <c r="AQ35" i="1"/>
  <c r="AQ27" i="1"/>
  <c r="AQ23" i="1"/>
  <c r="AQ29" i="1"/>
  <c r="AQ31" i="1"/>
  <c r="AC35" i="1"/>
  <c r="AP40" i="1"/>
  <c r="AI40" i="1"/>
  <c r="AB40" i="1"/>
  <c r="AN15" i="1"/>
  <c r="AG15" i="1"/>
  <c r="AI17" i="1" s="1"/>
  <c r="Z15" i="1"/>
  <c r="AB17" i="1" s="1"/>
  <c r="AL15" i="1"/>
  <c r="AE15" i="1"/>
  <c r="X15" i="1"/>
  <c r="AP27" i="1" l="1"/>
  <c r="AN27" i="1" s="1"/>
  <c r="AP25" i="1"/>
  <c r="AP23" i="1"/>
  <c r="AN23" i="1" s="1"/>
  <c r="AP35" i="1"/>
  <c r="AN35" i="1" s="1"/>
  <c r="AP31" i="1"/>
  <c r="AN31" i="1" s="1"/>
  <c r="AP17" i="1"/>
  <c r="AP33" i="1"/>
  <c r="AP29" i="1"/>
  <c r="AP21" i="1"/>
  <c r="AP19" i="1"/>
  <c r="AN29" i="1"/>
  <c r="AB21" i="1"/>
  <c r="AI33" i="1"/>
  <c r="AG33" i="1" s="1"/>
  <c r="AI35" i="1"/>
  <c r="AG35" i="1" s="1"/>
  <c r="AB27" i="1"/>
  <c r="AI25" i="1"/>
  <c r="AB19" i="1"/>
  <c r="AB23" i="1"/>
  <c r="AI23" i="1"/>
  <c r="AI27" i="1"/>
  <c r="AB35" i="1"/>
  <c r="Z35" i="1" s="1"/>
  <c r="AN33" i="1"/>
  <c r="AB33" i="1"/>
  <c r="Z33" i="1" s="1"/>
  <c r="AI31" i="1"/>
  <c r="AG31" i="1" s="1"/>
  <c r="AB25" i="1"/>
  <c r="AI19" i="1"/>
  <c r="AB31" i="1"/>
  <c r="AI29" i="1"/>
  <c r="AG29" i="1" s="1"/>
  <c r="AI21" i="1"/>
  <c r="AB29" i="1"/>
  <c r="B4" i="3"/>
  <c r="D4" i="3" s="1"/>
  <c r="B5" i="3"/>
  <c r="D5" i="3" s="1"/>
  <c r="B6" i="3"/>
  <c r="D6" i="3" s="1"/>
  <c r="B7" i="3"/>
  <c r="D7" i="3" s="1"/>
  <c r="B8" i="3"/>
  <c r="D8" i="3" s="1"/>
  <c r="F19" i="1"/>
  <c r="F21" i="1" s="1"/>
  <c r="F23" i="1" s="1"/>
  <c r="F25" i="1" s="1"/>
  <c r="F27" i="1" s="1"/>
  <c r="F29" i="1" s="1"/>
  <c r="F31" i="1" s="1"/>
  <c r="F33" i="1" s="1"/>
  <c r="F35" i="1" s="1"/>
  <c r="T36" i="1"/>
  <c r="Z31" i="1" l="1"/>
  <c r="M4" i="3"/>
  <c r="M5" i="3"/>
  <c r="M6" i="3"/>
  <c r="M7" i="3"/>
  <c r="M8" i="3"/>
  <c r="M9" i="3"/>
  <c r="M10" i="3"/>
  <c r="M11" i="3"/>
  <c r="M12" i="3"/>
  <c r="M13" i="3"/>
  <c r="M14" i="3"/>
  <c r="M15" i="3"/>
  <c r="M16" i="3"/>
  <c r="M17" i="3"/>
  <c r="M18" i="3"/>
  <c r="M19" i="3"/>
  <c r="M20" i="3"/>
  <c r="M21" i="3"/>
  <c r="M22" i="3"/>
  <c r="M3" i="3"/>
  <c r="B12" i="3"/>
  <c r="D12" i="3" s="1"/>
  <c r="B13" i="3"/>
  <c r="D13" i="3" s="1"/>
  <c r="E5" i="3"/>
  <c r="E7" i="3"/>
  <c r="E4" i="3"/>
  <c r="E6" i="3"/>
  <c r="B9" i="3"/>
  <c r="B10" i="3"/>
  <c r="D10" i="3" s="1"/>
  <c r="B11" i="3"/>
  <c r="D11" i="3" s="1"/>
  <c r="B14" i="3"/>
  <c r="D14" i="3" s="1"/>
  <c r="B15" i="3"/>
  <c r="D15" i="3" s="1"/>
  <c r="B16" i="3"/>
  <c r="B17" i="3"/>
  <c r="B18" i="3"/>
  <c r="B19" i="3"/>
  <c r="D19" i="3" s="1"/>
  <c r="B20" i="3"/>
  <c r="D20" i="3" s="1"/>
  <c r="B21" i="3"/>
  <c r="D21" i="3" s="1"/>
  <c r="B22" i="3"/>
  <c r="B3" i="3"/>
  <c r="C4" i="3"/>
  <c r="C5" i="3"/>
  <c r="C6" i="3"/>
  <c r="C7" i="3"/>
  <c r="C8" i="3"/>
  <c r="C9" i="3"/>
  <c r="C10" i="3"/>
  <c r="C11" i="3"/>
  <c r="C12" i="3"/>
  <c r="C13" i="3"/>
  <c r="C14" i="3"/>
  <c r="C15" i="3"/>
  <c r="C16" i="3"/>
  <c r="C17" i="3"/>
  <c r="C18" i="3"/>
  <c r="C19" i="3"/>
  <c r="C20" i="3"/>
  <c r="C21" i="3"/>
  <c r="C22" i="3"/>
  <c r="C3" i="3"/>
  <c r="P35" i="1"/>
  <c r="P33" i="1"/>
  <c r="P31" i="1"/>
  <c r="P29" i="1"/>
  <c r="P27" i="1"/>
  <c r="P25" i="1"/>
  <c r="P23" i="1"/>
  <c r="P21" i="1"/>
  <c r="P19" i="1"/>
  <c r="E18" i="3" l="1"/>
  <c r="D18" i="3"/>
  <c r="E17" i="3"/>
  <c r="D17" i="3"/>
  <c r="E9" i="3"/>
  <c r="D9" i="3"/>
  <c r="F9" i="3" s="1"/>
  <c r="E16" i="3"/>
  <c r="D16" i="3"/>
  <c r="F16" i="3" s="1"/>
  <c r="E3" i="3"/>
  <c r="D3" i="3"/>
  <c r="E22" i="3"/>
  <c r="D22" i="3"/>
  <c r="F22" i="3" s="1"/>
  <c r="F7" i="3"/>
  <c r="H7" i="3" s="1"/>
  <c r="F5" i="3"/>
  <c r="G5" i="3" s="1"/>
  <c r="F19" i="3"/>
  <c r="G19" i="3" s="1"/>
  <c r="F11" i="3"/>
  <c r="G11" i="3" s="1"/>
  <c r="F10" i="3"/>
  <c r="H10" i="3" s="1"/>
  <c r="F21" i="3"/>
  <c r="H21" i="3" s="1"/>
  <c r="F12" i="3"/>
  <c r="H12" i="3" s="1"/>
  <c r="E15" i="3"/>
  <c r="F15" i="3" s="1"/>
  <c r="H15" i="3" s="1"/>
  <c r="F8" i="3"/>
  <c r="G8" i="3" s="1"/>
  <c r="F4" i="3"/>
  <c r="G4" i="3" s="1"/>
  <c r="E14" i="3"/>
  <c r="F20" i="3"/>
  <c r="G20" i="3" s="1"/>
  <c r="F6" i="3"/>
  <c r="G6" i="3" s="1"/>
  <c r="F13" i="3"/>
  <c r="G13" i="3" s="1"/>
  <c r="F14" i="3"/>
  <c r="G7" i="3"/>
  <c r="I7" i="3" s="1"/>
  <c r="J7" i="3" s="1"/>
  <c r="K7" i="3" s="1"/>
  <c r="S21" i="1" s="1"/>
  <c r="F17" i="3"/>
  <c r="F18" i="3"/>
  <c r="H19" i="3"/>
  <c r="I19" i="3" s="1"/>
  <c r="J19" i="3" s="1"/>
  <c r="K19" i="3" s="1"/>
  <c r="S33" i="1" s="1"/>
  <c r="E11" i="3"/>
  <c r="F3" i="3"/>
  <c r="G3" i="3" s="1"/>
  <c r="E10" i="3"/>
  <c r="E20" i="3"/>
  <c r="E8" i="3"/>
  <c r="E13" i="3"/>
  <c r="E21" i="3"/>
  <c r="E19" i="3"/>
  <c r="E12" i="3"/>
  <c r="H5" i="3" l="1"/>
  <c r="I5" i="3" s="1"/>
  <c r="J5" i="3" s="1"/>
  <c r="K5" i="3" s="1"/>
  <c r="S19" i="1" s="1"/>
  <c r="G10" i="3"/>
  <c r="G21" i="3"/>
  <c r="H11" i="3"/>
  <c r="I11" i="3" s="1"/>
  <c r="J11" i="3" s="1"/>
  <c r="K11" i="3" s="1"/>
  <c r="S25" i="1" s="1"/>
  <c r="H13" i="3"/>
  <c r="I13" i="3" s="1"/>
  <c r="J13" i="3" s="1"/>
  <c r="K13" i="3" s="1"/>
  <c r="S27" i="1" s="1"/>
  <c r="I10" i="3"/>
  <c r="J10" i="3" s="1"/>
  <c r="K10" i="3" s="1"/>
  <c r="S24" i="1" s="1"/>
  <c r="H3" i="3"/>
  <c r="I3" i="3" s="1"/>
  <c r="J3" i="3" s="1"/>
  <c r="K3" i="3" s="1"/>
  <c r="S17" i="1" s="1"/>
  <c r="I21" i="3"/>
  <c r="J21" i="3" s="1"/>
  <c r="K21" i="3" s="1"/>
  <c r="S35" i="1" s="1"/>
  <c r="H8" i="3"/>
  <c r="I8" i="3" s="1"/>
  <c r="J8" i="3" s="1"/>
  <c r="K8" i="3" s="1"/>
  <c r="S22" i="1" s="1"/>
  <c r="L21" i="3"/>
  <c r="N21" i="3" s="1"/>
  <c r="O21" i="3" s="1"/>
  <c r="O35" i="1" s="1"/>
  <c r="Q35" i="1" s="1"/>
  <c r="R35" i="1"/>
  <c r="T35" i="1" s="1"/>
  <c r="L5" i="3"/>
  <c r="N5" i="3" s="1"/>
  <c r="O5" i="3" s="1"/>
  <c r="O19" i="1" s="1"/>
  <c r="Q19" i="1" s="1"/>
  <c r="R19" i="1"/>
  <c r="T19" i="1" s="1"/>
  <c r="L19" i="3"/>
  <c r="N19" i="3" s="1"/>
  <c r="O19" i="3" s="1"/>
  <c r="O33" i="1" s="1"/>
  <c r="Q33" i="1" s="1"/>
  <c r="R33" i="1"/>
  <c r="T33" i="1" s="1"/>
  <c r="R21" i="1"/>
  <c r="T21" i="1" s="1"/>
  <c r="L7" i="3"/>
  <c r="N7" i="3" s="1"/>
  <c r="O7" i="3" s="1"/>
  <c r="O21" i="1" s="1"/>
  <c r="Q21" i="1" s="1"/>
  <c r="V21" i="1" s="1"/>
  <c r="H20" i="3"/>
  <c r="I20" i="3" s="1"/>
  <c r="J20" i="3" s="1"/>
  <c r="K20" i="3" s="1"/>
  <c r="S34" i="1" s="1"/>
  <c r="H6" i="3"/>
  <c r="I6" i="3" s="1"/>
  <c r="J6" i="3" s="1"/>
  <c r="K6" i="3" s="1"/>
  <c r="S20" i="1" s="1"/>
  <c r="H4" i="3"/>
  <c r="I4" i="3" s="1"/>
  <c r="J4" i="3" s="1"/>
  <c r="K4" i="3" s="1"/>
  <c r="S18" i="1" s="1"/>
  <c r="G15" i="3"/>
  <c r="I15" i="3" s="1"/>
  <c r="J15" i="3" s="1"/>
  <c r="K15" i="3" s="1"/>
  <c r="S29" i="1" s="1"/>
  <c r="G12" i="3"/>
  <c r="I12" i="3" s="1"/>
  <c r="J12" i="3" s="1"/>
  <c r="K12" i="3" s="1"/>
  <c r="S26" i="1" s="1"/>
  <c r="G22" i="3"/>
  <c r="H22" i="3"/>
  <c r="G16" i="3"/>
  <c r="H16" i="3"/>
  <c r="G9" i="3"/>
  <c r="H9" i="3"/>
  <c r="G14" i="3"/>
  <c r="H14" i="3"/>
  <c r="G17" i="3"/>
  <c r="H17" i="3"/>
  <c r="G18" i="3"/>
  <c r="H18" i="3"/>
  <c r="V19" i="1" l="1"/>
  <c r="AL19" i="1" s="1"/>
  <c r="V35" i="1"/>
  <c r="V33" i="1"/>
  <c r="L10" i="3"/>
  <c r="N10" i="3" s="1"/>
  <c r="O10" i="3" s="1"/>
  <c r="O24" i="1" s="1"/>
  <c r="Q24" i="1" s="1"/>
  <c r="L13" i="3"/>
  <c r="N13" i="3" s="1"/>
  <c r="O13" i="3" s="1"/>
  <c r="O27" i="1" s="1"/>
  <c r="Q27" i="1" s="1"/>
  <c r="R24" i="1"/>
  <c r="T24" i="1" s="1"/>
  <c r="R22" i="1"/>
  <c r="T22" i="1" s="1"/>
  <c r="R27" i="1"/>
  <c r="T27" i="1" s="1"/>
  <c r="L8" i="3"/>
  <c r="N8" i="3" s="1"/>
  <c r="O8" i="3" s="1"/>
  <c r="O22" i="1" s="1"/>
  <c r="Q22" i="1" s="1"/>
  <c r="V22" i="1" s="1"/>
  <c r="I9" i="3"/>
  <c r="J9" i="3" s="1"/>
  <c r="K9" i="3" s="1"/>
  <c r="S23" i="1" s="1"/>
  <c r="R18" i="1"/>
  <c r="T18" i="1" s="1"/>
  <c r="L4" i="3"/>
  <c r="N4" i="3" s="1"/>
  <c r="O4" i="3" s="1"/>
  <c r="O18" i="1" s="1"/>
  <c r="Q18" i="1" s="1"/>
  <c r="V18" i="1" s="1"/>
  <c r="L6" i="3"/>
  <c r="N6" i="3" s="1"/>
  <c r="O6" i="3" s="1"/>
  <c r="O20" i="1" s="1"/>
  <c r="Q20" i="1" s="1"/>
  <c r="R20" i="1"/>
  <c r="T20" i="1" s="1"/>
  <c r="L20" i="3"/>
  <c r="N20" i="3" s="1"/>
  <c r="O20" i="3" s="1"/>
  <c r="O34" i="1" s="1"/>
  <c r="Q34" i="1" s="1"/>
  <c r="R34" i="1"/>
  <c r="T34" i="1" s="1"/>
  <c r="R26" i="1"/>
  <c r="T26" i="1" s="1"/>
  <c r="L12" i="3"/>
  <c r="N12" i="3" s="1"/>
  <c r="O12" i="3" s="1"/>
  <c r="O26" i="1" s="1"/>
  <c r="Q26" i="1" s="1"/>
  <c r="V26" i="1" s="1"/>
  <c r="L15" i="3"/>
  <c r="N15" i="3" s="1"/>
  <c r="O15" i="3" s="1"/>
  <c r="O29" i="1" s="1"/>
  <c r="Q29" i="1" s="1"/>
  <c r="R29" i="1"/>
  <c r="T29" i="1" s="1"/>
  <c r="L3" i="3"/>
  <c r="N3" i="3" s="1"/>
  <c r="O3" i="3" s="1"/>
  <c r="O17" i="1" s="1"/>
  <c r="R17" i="1"/>
  <c r="T17" i="1" s="1"/>
  <c r="U33" i="1"/>
  <c r="R25" i="1"/>
  <c r="T25" i="1" s="1"/>
  <c r="L11" i="3"/>
  <c r="N11" i="3" s="1"/>
  <c r="O11" i="3" s="1"/>
  <c r="O25" i="1" s="1"/>
  <c r="Q25" i="1" s="1"/>
  <c r="V25" i="1" s="1"/>
  <c r="U35" i="1"/>
  <c r="U21" i="1"/>
  <c r="AL21" i="1"/>
  <c r="U19" i="1"/>
  <c r="I22" i="3"/>
  <c r="I18" i="3"/>
  <c r="J18" i="3" s="1"/>
  <c r="K18" i="3" s="1"/>
  <c r="S32" i="1" s="1"/>
  <c r="I14" i="3"/>
  <c r="J14" i="3" s="1"/>
  <c r="K14" i="3" s="1"/>
  <c r="S28" i="1" s="1"/>
  <c r="I16" i="3"/>
  <c r="J16" i="3" s="1"/>
  <c r="K16" i="3" s="1"/>
  <c r="S30" i="1" s="1"/>
  <c r="I17" i="3"/>
  <c r="J17" i="3" s="1"/>
  <c r="K17" i="3" s="1"/>
  <c r="S31" i="1" s="1"/>
  <c r="V20" i="1" l="1"/>
  <c r="U27" i="1"/>
  <c r="V27" i="1"/>
  <c r="V24" i="1"/>
  <c r="V29" i="1"/>
  <c r="V34" i="1"/>
  <c r="R23" i="1"/>
  <c r="T23" i="1" s="1"/>
  <c r="AE19" i="1"/>
  <c r="X19" i="1"/>
  <c r="X21" i="1"/>
  <c r="AE21" i="1"/>
  <c r="L9" i="3"/>
  <c r="N9" i="3" s="1"/>
  <c r="O9" i="3" s="1"/>
  <c r="O23" i="1" s="1"/>
  <c r="Q23" i="1" s="1"/>
  <c r="L22" i="3"/>
  <c r="N22" i="3" s="1"/>
  <c r="O22" i="3" s="1"/>
  <c r="J22" i="3"/>
  <c r="K22" i="3" s="1"/>
  <c r="L17" i="3"/>
  <c r="N17" i="3" s="1"/>
  <c r="O17" i="3" s="1"/>
  <c r="O31" i="1" s="1"/>
  <c r="Q31" i="1" s="1"/>
  <c r="R31" i="1"/>
  <c r="T31" i="1" s="1"/>
  <c r="L16" i="3"/>
  <c r="N16" i="3" s="1"/>
  <c r="O16" i="3" s="1"/>
  <c r="O30" i="1" s="1"/>
  <c r="Q30" i="1" s="1"/>
  <c r="R30" i="1"/>
  <c r="T30" i="1" s="1"/>
  <c r="U25" i="1"/>
  <c r="U29" i="1"/>
  <c r="L14" i="3"/>
  <c r="N14" i="3" s="1"/>
  <c r="O14" i="3" s="1"/>
  <c r="O28" i="1" s="1"/>
  <c r="Q28" i="1" s="1"/>
  <c r="R28" i="1"/>
  <c r="T28" i="1" s="1"/>
  <c r="L18" i="3"/>
  <c r="N18" i="3" s="1"/>
  <c r="O18" i="3" s="1"/>
  <c r="O32" i="1" s="1"/>
  <c r="Q32" i="1" s="1"/>
  <c r="R32" i="1"/>
  <c r="T32" i="1" s="1"/>
  <c r="V32" i="1" l="1"/>
  <c r="V31" i="1"/>
  <c r="R43" i="1"/>
  <c r="R44" i="1"/>
  <c r="R42" i="1"/>
  <c r="V28" i="1"/>
  <c r="U23" i="1"/>
  <c r="V23" i="1"/>
  <c r="V30" i="1"/>
  <c r="X27" i="1"/>
  <c r="AE27" i="1"/>
  <c r="X25" i="1"/>
  <c r="AE25" i="1"/>
  <c r="AL25" i="1"/>
  <c r="AE23" i="1"/>
  <c r="X23" i="1"/>
  <c r="S44" i="1"/>
  <c r="S45" i="1"/>
  <c r="S43" i="1"/>
  <c r="U31" i="1"/>
  <c r="P17" i="1"/>
  <c r="Q17" i="1" s="1"/>
  <c r="V17" i="1" s="1"/>
  <c r="U17" i="1" l="1"/>
  <c r="U38" i="1" s="1"/>
  <c r="H9" i="1" s="1"/>
  <c r="U40" i="1" l="1"/>
  <c r="AQ19" i="1" s="1"/>
  <c r="AN19" i="1" s="1"/>
  <c r="AJ25" i="1" l="1"/>
  <c r="AG25" i="1" s="1"/>
  <c r="AQ21" i="1"/>
  <c r="AN21" i="1" s="1"/>
  <c r="AC27" i="1"/>
  <c r="Z27" i="1" s="1"/>
  <c r="AJ27" i="1"/>
  <c r="AG27" i="1" s="1"/>
  <c r="AC21" i="1"/>
  <c r="Z21" i="1" s="1"/>
  <c r="AQ25" i="1"/>
  <c r="AN25" i="1" s="1"/>
  <c r="AC23" i="1"/>
  <c r="Z23" i="1" s="1"/>
  <c r="AC25" i="1"/>
  <c r="Z25" i="1" s="1"/>
  <c r="AJ23" i="1"/>
  <c r="AG23" i="1" s="1"/>
  <c r="AJ21" i="1"/>
  <c r="AG21" i="1" s="1"/>
  <c r="AQ17" i="1"/>
  <c r="AL17" i="1" s="1"/>
  <c r="AC19" i="1"/>
  <c r="Z19" i="1" s="1"/>
  <c r="AJ17" i="1"/>
  <c r="AE17" i="1" s="1"/>
  <c r="AC17" i="1"/>
  <c r="AJ19" i="1"/>
  <c r="AG19" i="1" s="1"/>
  <c r="Z29" i="1"/>
  <c r="AC40" i="1"/>
  <c r="AB38" i="1" s="1"/>
  <c r="AJ40" i="1"/>
  <c r="AI38" i="1" s="1"/>
  <c r="AQ40" i="1"/>
  <c r="AP38" i="1" s="1"/>
  <c r="AG17" i="1" l="1"/>
  <c r="AG38" i="1" s="1"/>
  <c r="AE38" i="1"/>
  <c r="AN17" i="1"/>
  <c r="AN38" i="1" s="1"/>
  <c r="AL38" i="1"/>
  <c r="AL43" i="1" s="1"/>
  <c r="Z17" i="1"/>
  <c r="Z38" i="1" s="1"/>
  <c r="X17" i="1"/>
  <c r="X38" i="1" s="1"/>
  <c r="AE43" i="1" l="1"/>
  <c r="AI43" i="1" s="1"/>
  <c r="AP43" i="1"/>
  <c r="X43" i="1"/>
  <c r="AB43" i="1" l="1"/>
  <c r="G4" i="1" s="1"/>
  <c r="L4" i="1" s="1"/>
  <c r="L8" i="1" l="1"/>
  <c r="L6" i="1"/>
</calcChain>
</file>

<file path=xl/sharedStrings.xml><?xml version="1.0" encoding="utf-8"?>
<sst xmlns="http://schemas.openxmlformats.org/spreadsheetml/2006/main" count="213" uniqueCount="111">
  <si>
    <t>世帯主</t>
    <rPh sb="0" eb="3">
      <t>セタイヌシ</t>
    </rPh>
    <phoneticPr fontId="3"/>
  </si>
  <si>
    <t>国保加入者</t>
    <rPh sb="0" eb="2">
      <t>コクホ</t>
    </rPh>
    <rPh sb="2" eb="5">
      <t>カニュウシャ</t>
    </rPh>
    <phoneticPr fontId="3"/>
  </si>
  <si>
    <t>年齢</t>
    <rPh sb="0" eb="2">
      <t>ネンレイ</t>
    </rPh>
    <phoneticPr fontId="3"/>
  </si>
  <si>
    <t>非自発的失業者</t>
    <rPh sb="0" eb="1">
      <t>ヒ</t>
    </rPh>
    <rPh sb="1" eb="4">
      <t>ジハツテキ</t>
    </rPh>
    <rPh sb="4" eb="7">
      <t>シツギョウシャ</t>
    </rPh>
    <phoneticPr fontId="3"/>
  </si>
  <si>
    <t>40～64歳</t>
    <rPh sb="5" eb="6">
      <t>サイ</t>
    </rPh>
    <phoneticPr fontId="3"/>
  </si>
  <si>
    <t>65～74歳</t>
    <rPh sb="5" eb="6">
      <t>サイ</t>
    </rPh>
    <phoneticPr fontId="3"/>
  </si>
  <si>
    <t>75歳～</t>
    <rPh sb="2" eb="3">
      <t>サイ</t>
    </rPh>
    <phoneticPr fontId="3"/>
  </si>
  <si>
    <t>15～39歳</t>
    <rPh sb="5" eb="6">
      <t>サイ</t>
    </rPh>
    <phoneticPr fontId="3"/>
  </si>
  <si>
    <t>減免用確認</t>
    <rPh sb="0" eb="2">
      <t>ゲンメン</t>
    </rPh>
    <rPh sb="2" eb="3">
      <t>ヨウ</t>
    </rPh>
    <rPh sb="3" eb="5">
      <t>カクニン</t>
    </rPh>
    <phoneticPr fontId="3"/>
  </si>
  <si>
    <t>月額相当</t>
    <rPh sb="0" eb="2">
      <t>ゲツガク</t>
    </rPh>
    <rPh sb="2" eb="4">
      <t>ソウトウ</t>
    </rPh>
    <phoneticPr fontId="3"/>
  </si>
  <si>
    <t>円</t>
    <rPh sb="0" eb="1">
      <t>エン</t>
    </rPh>
    <phoneticPr fontId="3"/>
  </si>
  <si>
    <t>※100円未満の端数は、初月にまとめて徴収</t>
    <rPh sb="4" eb="5">
      <t>エン</t>
    </rPh>
    <rPh sb="5" eb="7">
      <t>ミマン</t>
    </rPh>
    <rPh sb="8" eb="10">
      <t>ハスウ</t>
    </rPh>
    <rPh sb="12" eb="14">
      <t>ショゲツ</t>
    </rPh>
    <rPh sb="19" eb="21">
      <t>チョウシュウ</t>
    </rPh>
    <phoneticPr fontId="3"/>
  </si>
  <si>
    <t>後期支援分</t>
    <rPh sb="0" eb="2">
      <t>コウキ</t>
    </rPh>
    <rPh sb="2" eb="4">
      <t>シエン</t>
    </rPh>
    <rPh sb="4" eb="5">
      <t>ブン</t>
    </rPh>
    <phoneticPr fontId="3"/>
  </si>
  <si>
    <t>医療分</t>
    <rPh sb="0" eb="2">
      <t>イリョウ</t>
    </rPh>
    <rPh sb="2" eb="3">
      <t>ブン</t>
    </rPh>
    <phoneticPr fontId="3"/>
  </si>
  <si>
    <t>均等割</t>
    <rPh sb="0" eb="3">
      <t>キントウワ</t>
    </rPh>
    <phoneticPr fontId="3"/>
  </si>
  <si>
    <t>平等割</t>
    <rPh sb="0" eb="2">
      <t>ビョウドウ</t>
    </rPh>
    <rPh sb="2" eb="3">
      <t>ワリ</t>
    </rPh>
    <phoneticPr fontId="3"/>
  </si>
  <si>
    <t>所得割</t>
    <rPh sb="0" eb="2">
      <t>ショトク</t>
    </rPh>
    <rPh sb="2" eb="3">
      <t>ワリ</t>
    </rPh>
    <phoneticPr fontId="3"/>
  </si>
  <si>
    <t>加入者人数</t>
    <rPh sb="0" eb="3">
      <t>カニュウシャ</t>
    </rPh>
    <rPh sb="3" eb="5">
      <t>ニンズウ</t>
    </rPh>
    <phoneticPr fontId="3"/>
  </si>
  <si>
    <t>給与（年金があるときの特例控除後）</t>
    <rPh sb="0" eb="2">
      <t>キュウヨ</t>
    </rPh>
    <rPh sb="3" eb="5">
      <t>ネンキン</t>
    </rPh>
    <rPh sb="11" eb="13">
      <t>トクレイ</t>
    </rPh>
    <rPh sb="13" eb="15">
      <t>コウジョ</t>
    </rPh>
    <rPh sb="15" eb="16">
      <t>ゴ</t>
    </rPh>
    <phoneticPr fontId="3"/>
  </si>
  <si>
    <t>軽減計算用合計所得</t>
    <rPh sb="0" eb="2">
      <t>ケイゲン</t>
    </rPh>
    <rPh sb="2" eb="4">
      <t>ケイサン</t>
    </rPh>
    <rPh sb="4" eb="5">
      <t>ヨウ</t>
    </rPh>
    <rPh sb="5" eb="7">
      <t>ゴウケイ</t>
    </rPh>
    <rPh sb="7" eb="9">
      <t>ショトク</t>
    </rPh>
    <phoneticPr fontId="3"/>
  </si>
  <si>
    <t>保険料計算用所得</t>
    <rPh sb="0" eb="2">
      <t>ホケン</t>
    </rPh>
    <rPh sb="2" eb="3">
      <t>リョウ</t>
    </rPh>
    <rPh sb="3" eb="5">
      <t>ケイサン</t>
    </rPh>
    <rPh sb="5" eb="6">
      <t>ヨウ</t>
    </rPh>
    <rPh sb="6" eb="8">
      <t>ショトク</t>
    </rPh>
    <phoneticPr fontId="3"/>
  </si>
  <si>
    <t>介護分</t>
    <rPh sb="0" eb="2">
      <t>カイゴ</t>
    </rPh>
    <rPh sb="2" eb="3">
      <t>ブン</t>
    </rPh>
    <phoneticPr fontId="3"/>
  </si>
  <si>
    <t>均等割</t>
    <rPh sb="0" eb="3">
      <t>キントウワリ</t>
    </rPh>
    <phoneticPr fontId="3"/>
  </si>
  <si>
    <t>上限</t>
    <rPh sb="0" eb="2">
      <t>ジョウゲン</t>
    </rPh>
    <phoneticPr fontId="3"/>
  </si>
  <si>
    <t>R４年度</t>
    <rPh sb="2" eb="4">
      <t>ネンド</t>
    </rPh>
    <phoneticPr fontId="3"/>
  </si>
  <si>
    <t>所得割合計</t>
    <rPh sb="0" eb="2">
      <t>ショトク</t>
    </rPh>
    <rPh sb="2" eb="3">
      <t>ワリ</t>
    </rPh>
    <rPh sb="3" eb="5">
      <t>ゴウケイ</t>
    </rPh>
    <phoneticPr fontId="3"/>
  </si>
  <si>
    <t>均等割合計</t>
    <rPh sb="0" eb="2">
      <t>キントウ</t>
    </rPh>
    <rPh sb="2" eb="3">
      <t>ワリ</t>
    </rPh>
    <rPh sb="3" eb="5">
      <t>ゴウケイ</t>
    </rPh>
    <phoneticPr fontId="3"/>
  </si>
  <si>
    <t>＝</t>
    <phoneticPr fontId="3"/>
  </si>
  <si>
    <t>旧被扶養者</t>
    <rPh sb="0" eb="1">
      <t>キュウ</t>
    </rPh>
    <rPh sb="1" eb="5">
      <t>ヒフヨウシャ</t>
    </rPh>
    <phoneticPr fontId="3"/>
  </si>
  <si>
    <t>軽減計算用年金所得</t>
    <rPh sb="0" eb="2">
      <t>ケイゲン</t>
    </rPh>
    <rPh sb="2" eb="4">
      <t>ケイサン</t>
    </rPh>
    <rPh sb="4" eb="5">
      <t>ヨウ</t>
    </rPh>
    <rPh sb="5" eb="7">
      <t>ネンキン</t>
    </rPh>
    <rPh sb="7" eb="9">
      <t>ショトク</t>
    </rPh>
    <phoneticPr fontId="3"/>
  </si>
  <si>
    <t>非自発的失業適用結果</t>
    <rPh sb="0" eb="1">
      <t>ヒ</t>
    </rPh>
    <rPh sb="1" eb="4">
      <t>ジハツテキ</t>
    </rPh>
    <rPh sb="4" eb="6">
      <t>シツギョウ</t>
    </rPh>
    <rPh sb="6" eb="8">
      <t>テキヨウ</t>
    </rPh>
    <rPh sb="8" eb="10">
      <t>ケッカ</t>
    </rPh>
    <phoneticPr fontId="3"/>
  </si>
  <si>
    <t>年金所得</t>
    <rPh sb="0" eb="2">
      <t>ネンキン</t>
    </rPh>
    <rPh sb="2" eb="4">
      <t>ショトク</t>
    </rPh>
    <phoneticPr fontId="3"/>
  </si>
  <si>
    <t>適用後給与所得</t>
    <rPh sb="0" eb="2">
      <t>テキヨウ</t>
    </rPh>
    <rPh sb="2" eb="3">
      <t>ゴ</t>
    </rPh>
    <rPh sb="3" eb="5">
      <t>キュウヨ</t>
    </rPh>
    <rPh sb="5" eb="7">
      <t>ショトク</t>
    </rPh>
    <phoneticPr fontId="3"/>
  </si>
  <si>
    <t>国保に入らない</t>
    <rPh sb="0" eb="2">
      <t>コクホ</t>
    </rPh>
    <rPh sb="3" eb="4">
      <t>ハイ</t>
    </rPh>
    <phoneticPr fontId="3"/>
  </si>
  <si>
    <t>国保加入者１</t>
    <rPh sb="0" eb="2">
      <t>コクホ</t>
    </rPh>
    <rPh sb="2" eb="5">
      <t>カニュウシャ</t>
    </rPh>
    <phoneticPr fontId="3"/>
  </si>
  <si>
    <t>--選択してください--</t>
    <rPh sb="2" eb="4">
      <t>センタク</t>
    </rPh>
    <phoneticPr fontId="3"/>
  </si>
  <si>
    <t>年金収入</t>
    <rPh sb="0" eb="2">
      <t>ネンキン</t>
    </rPh>
    <rPh sb="2" eb="4">
      <t>シュウニュウ</t>
    </rPh>
    <phoneticPr fontId="3"/>
  </si>
  <si>
    <t>75歳～</t>
    <rPh sb="2" eb="3">
      <t>サイ</t>
    </rPh>
    <phoneticPr fontId="3"/>
  </si>
  <si>
    <t>65～74歳</t>
    <rPh sb="5" eb="6">
      <t>サイ</t>
    </rPh>
    <phoneticPr fontId="3"/>
  </si>
  <si>
    <t>年齢</t>
    <rPh sb="0" eb="2">
      <t>ネンレイ</t>
    </rPh>
    <phoneticPr fontId="3"/>
  </si>
  <si>
    <t>64歳以下</t>
    <rPh sb="2" eb="3">
      <t>サイ</t>
    </rPh>
    <rPh sb="3" eb="5">
      <t>イカ</t>
    </rPh>
    <phoneticPr fontId="3"/>
  </si>
  <si>
    <t>計算方法</t>
    <rPh sb="0" eb="2">
      <t>ケイサン</t>
    </rPh>
    <rPh sb="2" eb="4">
      <t>ホウホウ</t>
    </rPh>
    <phoneticPr fontId="3"/>
  </si>
  <si>
    <t>～64歳</t>
    <rPh sb="3" eb="4">
      <t>サイ</t>
    </rPh>
    <phoneticPr fontId="3"/>
  </si>
  <si>
    <t>65歳～</t>
    <rPh sb="2" eb="3">
      <t>サイ</t>
    </rPh>
    <phoneticPr fontId="3"/>
  </si>
  <si>
    <t>%</t>
    <phoneticPr fontId="3"/>
  </si>
  <si>
    <t>控除額</t>
    <rPh sb="0" eb="2">
      <t>コウジョ</t>
    </rPh>
    <rPh sb="2" eb="3">
      <t>ガク</t>
    </rPh>
    <phoneticPr fontId="3"/>
  </si>
  <si>
    <t>計算結果</t>
    <rPh sb="0" eb="2">
      <t>ケイサン</t>
    </rPh>
    <rPh sb="2" eb="4">
      <t>ケッカ</t>
    </rPh>
    <phoneticPr fontId="3"/>
  </si>
  <si>
    <t>給与所得</t>
    <rPh sb="0" eb="2">
      <t>キュウヨ</t>
    </rPh>
    <rPh sb="2" eb="4">
      <t>ショトク</t>
    </rPh>
    <phoneticPr fontId="3"/>
  </si>
  <si>
    <t>給与からの控除額</t>
    <rPh sb="0" eb="2">
      <t>キュウヨ</t>
    </rPh>
    <rPh sb="5" eb="7">
      <t>コウジョ</t>
    </rPh>
    <rPh sb="7" eb="8">
      <t>ガク</t>
    </rPh>
    <phoneticPr fontId="3"/>
  </si>
  <si>
    <t>マイナスを無くした調整後の給与所得</t>
    <rPh sb="5" eb="6">
      <t>ナ</t>
    </rPh>
    <rPh sb="9" eb="12">
      <t>チョウセイゴ</t>
    </rPh>
    <rPh sb="13" eb="15">
      <t>キュウヨ</t>
    </rPh>
    <rPh sb="15" eb="17">
      <t>ショトク</t>
    </rPh>
    <phoneticPr fontId="3"/>
  </si>
  <si>
    <t>軽減用年金所得</t>
    <rPh sb="0" eb="2">
      <t>ケイゲン</t>
    </rPh>
    <rPh sb="2" eb="3">
      <t>ヨウ</t>
    </rPh>
    <rPh sb="3" eb="5">
      <t>ネンキン</t>
    </rPh>
    <rPh sb="5" eb="7">
      <t>ショトク</t>
    </rPh>
    <phoneticPr fontId="3"/>
  </si>
  <si>
    <t>＝</t>
    <phoneticPr fontId="3"/>
  </si>
  <si>
    <t>７割軽減に該当する額</t>
    <rPh sb="1" eb="2">
      <t>ワリ</t>
    </rPh>
    <rPh sb="2" eb="3">
      <t>カル</t>
    </rPh>
    <rPh sb="3" eb="4">
      <t>ゲン</t>
    </rPh>
    <rPh sb="5" eb="7">
      <t>ガイトウ</t>
    </rPh>
    <rPh sb="9" eb="10">
      <t>ガク</t>
    </rPh>
    <phoneticPr fontId="3"/>
  </si>
  <si>
    <t>5割軽減に該当する額</t>
    <rPh sb="1" eb="2">
      <t>ワリ</t>
    </rPh>
    <rPh sb="2" eb="3">
      <t>カル</t>
    </rPh>
    <rPh sb="3" eb="4">
      <t>ゲン</t>
    </rPh>
    <rPh sb="5" eb="7">
      <t>ガイトウ</t>
    </rPh>
    <rPh sb="9" eb="10">
      <t>ガク</t>
    </rPh>
    <phoneticPr fontId="3"/>
  </si>
  <si>
    <t>2割軽減に該当する額</t>
    <rPh sb="1" eb="2">
      <t>ワリ</t>
    </rPh>
    <rPh sb="2" eb="3">
      <t>カル</t>
    </rPh>
    <rPh sb="3" eb="4">
      <t>ゲン</t>
    </rPh>
    <rPh sb="5" eb="7">
      <t>ガイトウ</t>
    </rPh>
    <rPh sb="9" eb="10">
      <t>ガク</t>
    </rPh>
    <phoneticPr fontId="3"/>
  </si>
  <si>
    <t>７割軽減</t>
    <rPh sb="1" eb="2">
      <t>ワリ</t>
    </rPh>
    <rPh sb="2" eb="4">
      <t>ケイゲン</t>
    </rPh>
    <phoneticPr fontId="3"/>
  </si>
  <si>
    <t>5割軽減</t>
    <rPh sb="1" eb="2">
      <t>ワリ</t>
    </rPh>
    <rPh sb="2" eb="4">
      <t>ケイゲン</t>
    </rPh>
    <phoneticPr fontId="3"/>
  </si>
  <si>
    <t>2割軽減</t>
    <rPh sb="1" eb="2">
      <t>ワリ</t>
    </rPh>
    <rPh sb="2" eb="4">
      <t>ケイゲン</t>
    </rPh>
    <phoneticPr fontId="3"/>
  </si>
  <si>
    <t>軽減非該当</t>
    <rPh sb="0" eb="2">
      <t>ケイゲン</t>
    </rPh>
    <rPh sb="2" eb="5">
      <t>ヒガイトウ</t>
    </rPh>
    <phoneticPr fontId="3"/>
  </si>
  <si>
    <t>旧被扶養者とは：家族が75歳以上となったために社会保険の扶養から外れる方</t>
    <rPh sb="0" eb="1">
      <t>キュウ</t>
    </rPh>
    <rPh sb="1" eb="5">
      <t>ヒフヨウシャ</t>
    </rPh>
    <rPh sb="8" eb="10">
      <t>カゾク</t>
    </rPh>
    <rPh sb="13" eb="14">
      <t>サイ</t>
    </rPh>
    <rPh sb="14" eb="16">
      <t>イジョウ</t>
    </rPh>
    <rPh sb="23" eb="25">
      <t>シャカイ</t>
    </rPh>
    <rPh sb="25" eb="27">
      <t>ホケン</t>
    </rPh>
    <rPh sb="28" eb="30">
      <t>フヨウ</t>
    </rPh>
    <rPh sb="32" eb="33">
      <t>ハズ</t>
    </rPh>
    <rPh sb="35" eb="36">
      <t>カタ</t>
    </rPh>
    <phoneticPr fontId="3"/>
  </si>
  <si>
    <t>３つの合計</t>
    <rPh sb="3" eb="5">
      <t>ゴウケイ</t>
    </rPh>
    <phoneticPr fontId="3"/>
  </si>
  <si>
    <t>医療分の上限</t>
    <rPh sb="0" eb="2">
      <t>イリョウ</t>
    </rPh>
    <rPh sb="2" eb="3">
      <t>ブン</t>
    </rPh>
    <rPh sb="4" eb="6">
      <t>ジョウゲン</t>
    </rPh>
    <phoneticPr fontId="3"/>
  </si>
  <si>
    <t>医療分結果</t>
    <rPh sb="0" eb="2">
      <t>イリョウ</t>
    </rPh>
    <rPh sb="2" eb="3">
      <t>ブン</t>
    </rPh>
    <rPh sb="3" eb="5">
      <t>ケッカ</t>
    </rPh>
    <phoneticPr fontId="3"/>
  </si>
  <si>
    <t>介護分結果</t>
    <rPh sb="0" eb="2">
      <t>カイゴ</t>
    </rPh>
    <rPh sb="2" eb="3">
      <t>ブン</t>
    </rPh>
    <rPh sb="3" eb="5">
      <t>ケッカ</t>
    </rPh>
    <phoneticPr fontId="3"/>
  </si>
  <si>
    <t>後期分結果</t>
    <rPh sb="0" eb="2">
      <t>コウキ</t>
    </rPh>
    <rPh sb="2" eb="3">
      <t>ブン</t>
    </rPh>
    <rPh sb="3" eb="5">
      <t>ケッカ</t>
    </rPh>
    <phoneticPr fontId="3"/>
  </si>
  <si>
    <t>後期分の上限</t>
    <rPh sb="0" eb="2">
      <t>コウキ</t>
    </rPh>
    <rPh sb="2" eb="3">
      <t>ブン</t>
    </rPh>
    <rPh sb="4" eb="6">
      <t>ジョウゲン</t>
    </rPh>
    <phoneticPr fontId="3"/>
  </si>
  <si>
    <t>介護分の上限</t>
    <rPh sb="0" eb="2">
      <t>カイゴ</t>
    </rPh>
    <rPh sb="2" eb="3">
      <t>ブン</t>
    </rPh>
    <rPh sb="4" eb="6">
      <t>ジョウゲン</t>
    </rPh>
    <phoneticPr fontId="3"/>
  </si>
  <si>
    <t>該当なし</t>
    <rPh sb="0" eb="2">
      <t>ガイトウ</t>
    </rPh>
    <phoneticPr fontId="3"/>
  </si>
  <si>
    <t>A</t>
    <phoneticPr fontId="3"/>
  </si>
  <si>
    <t>B</t>
    <phoneticPr fontId="3"/>
  </si>
  <si>
    <t>D</t>
    <phoneticPr fontId="3"/>
  </si>
  <si>
    <t>E</t>
    <phoneticPr fontId="3"/>
  </si>
  <si>
    <t>F</t>
    <phoneticPr fontId="3"/>
  </si>
  <si>
    <t>--選択してください--</t>
    <rPh sb="2" eb="4">
      <t>センタク</t>
    </rPh>
    <phoneticPr fontId="3"/>
  </si>
  <si>
    <t>15～39歳</t>
    <rPh sb="5" eb="6">
      <t>サイ</t>
    </rPh>
    <phoneticPr fontId="3"/>
  </si>
  <si>
    <t>非自発的失業</t>
    <rPh sb="0" eb="1">
      <t>ヒ</t>
    </rPh>
    <rPh sb="1" eb="4">
      <t>ジハツテキ</t>
    </rPh>
    <rPh sb="4" eb="6">
      <t>シツギョウ</t>
    </rPh>
    <phoneticPr fontId="3"/>
  </si>
  <si>
    <t>世帯軽減用合計</t>
    <rPh sb="0" eb="2">
      <t>セタイ</t>
    </rPh>
    <rPh sb="2" eb="4">
      <t>ケイゲン</t>
    </rPh>
    <rPh sb="4" eb="5">
      <t>ヨウ</t>
    </rPh>
    <rPh sb="5" eb="7">
      <t>ゴウケイ</t>
    </rPh>
    <phoneticPr fontId="3"/>
  </si>
  <si>
    <t>結果</t>
    <rPh sb="0" eb="2">
      <t>ケッカ</t>
    </rPh>
    <phoneticPr fontId="3"/>
  </si>
  <si>
    <t>選択不要でした</t>
    <rPh sb="0" eb="1">
      <t>センタク</t>
    </rPh>
    <rPh sb="1" eb="3">
      <t>フヨウ</t>
    </rPh>
    <phoneticPr fontId="3"/>
  </si>
  <si>
    <t>H</t>
    <phoneticPr fontId="3"/>
  </si>
  <si>
    <t>軽減用人数</t>
    <rPh sb="0" eb="2">
      <t>ケイゲン</t>
    </rPh>
    <rPh sb="2" eb="3">
      <t>ヨウ</t>
    </rPh>
    <rPh sb="3" eb="5">
      <t>ニンズウ</t>
    </rPh>
    <phoneticPr fontId="3"/>
  </si>
  <si>
    <t>をかける</t>
    <phoneticPr fontId="3"/>
  </si>
  <si>
    <t>0歳～小学校入学前</t>
    <rPh sb="1" eb="2">
      <t>サイ</t>
    </rPh>
    <rPh sb="3" eb="6">
      <t>ショウガッコウ</t>
    </rPh>
    <rPh sb="6" eb="8">
      <t>ニュウガク</t>
    </rPh>
    <rPh sb="8" eb="9">
      <t>マエ</t>
    </rPh>
    <phoneticPr fontId="3"/>
  </si>
  <si>
    <t>小学生～14歳</t>
    <rPh sb="0" eb="3">
      <t>ショウガクセイ</t>
    </rPh>
    <rPh sb="6" eb="7">
      <t>サイ</t>
    </rPh>
    <phoneticPr fontId="3"/>
  </si>
  <si>
    <t>年齢別リスト名前</t>
    <rPh sb="0" eb="2">
      <t>ネンレイ</t>
    </rPh>
    <rPh sb="2" eb="3">
      <t>ベツ</t>
    </rPh>
    <rPh sb="6" eb="8">
      <t>ナマエ</t>
    </rPh>
    <phoneticPr fontId="3"/>
  </si>
  <si>
    <t>免除確認</t>
    <rPh sb="0" eb="2">
      <t>メンジョ</t>
    </rPh>
    <rPh sb="2" eb="4">
      <t>カクニン</t>
    </rPh>
    <phoneticPr fontId="3"/>
  </si>
  <si>
    <t>年間 ÷ １0 ＝ 約</t>
    <rPh sb="0" eb="2">
      <t>ネンカン</t>
    </rPh>
    <rPh sb="10" eb="11">
      <t>ヤク</t>
    </rPh>
    <phoneticPr fontId="3"/>
  </si>
  <si>
    <t>年間 ÷ 　６＝ 約</t>
    <rPh sb="0" eb="2">
      <t>ネンカン</t>
    </rPh>
    <rPh sb="9" eb="10">
      <t>ヤク</t>
    </rPh>
    <phoneticPr fontId="3"/>
  </si>
  <si>
    <t>年間 ÷ １２＝ 約</t>
    <rPh sb="0" eb="2">
      <t>ネンカン</t>
    </rPh>
    <rPh sb="9" eb="10">
      <t>ヤク</t>
    </rPh>
    <phoneticPr fontId="3"/>
  </si>
  <si>
    <t>所得判定による
軽減割合</t>
    <rPh sb="0" eb="2">
      <t>ショトク</t>
    </rPh>
    <rPh sb="2" eb="4">
      <t>ハンテイ</t>
    </rPh>
    <rPh sb="8" eb="10">
      <t>ケイゲン</t>
    </rPh>
    <rPh sb="10" eb="12">
      <t>ワリアイ</t>
    </rPh>
    <phoneticPr fontId="3"/>
  </si>
  <si>
    <r>
      <t xml:space="preserve">月毎徴収額
</t>
    </r>
    <r>
      <rPr>
        <b/>
        <sz val="9"/>
        <color theme="0"/>
        <rFont val="游ゴシック"/>
        <family val="3"/>
        <charset val="128"/>
        <scheme val="minor"/>
      </rPr>
      <t>普通徴取の場合</t>
    </r>
    <rPh sb="0" eb="1">
      <t>ツキ</t>
    </rPh>
    <rPh sb="1" eb="2">
      <t>ゴト</t>
    </rPh>
    <rPh sb="2" eb="5">
      <t>チョウシュウガク</t>
    </rPh>
    <rPh sb="6" eb="8">
      <t>フツウ</t>
    </rPh>
    <rPh sb="8" eb="10">
      <t>チョウシュ</t>
    </rPh>
    <rPh sb="11" eb="13">
      <t>バアイ</t>
    </rPh>
    <phoneticPr fontId="3"/>
  </si>
  <si>
    <r>
      <t xml:space="preserve">月毎徴収額
</t>
    </r>
    <r>
      <rPr>
        <b/>
        <sz val="9"/>
        <color theme="0"/>
        <rFont val="游ゴシック"/>
        <family val="3"/>
        <charset val="128"/>
        <scheme val="minor"/>
      </rPr>
      <t>年金天引の場合</t>
    </r>
    <rPh sb="0" eb="1">
      <t>ツキ</t>
    </rPh>
    <rPh sb="1" eb="2">
      <t>ゴト</t>
    </rPh>
    <rPh sb="2" eb="5">
      <t>チョウシュウガク</t>
    </rPh>
    <rPh sb="6" eb="8">
      <t>ネンキン</t>
    </rPh>
    <rPh sb="8" eb="10">
      <t>テンビ</t>
    </rPh>
    <rPh sb="11" eb="13">
      <t>バアイ</t>
    </rPh>
    <phoneticPr fontId="3"/>
  </si>
  <si>
    <r>
      <t>※</t>
    </r>
    <r>
      <rPr>
        <b/>
        <sz val="11"/>
        <color rgb="FF00B050"/>
        <rFont val="游ゴシック"/>
        <family val="3"/>
        <charset val="128"/>
        <scheme val="minor"/>
      </rPr>
      <t>任意継続</t>
    </r>
    <r>
      <rPr>
        <sz val="11"/>
        <color theme="1"/>
        <rFont val="游ゴシック"/>
        <family val="2"/>
        <charset val="128"/>
        <scheme val="minor"/>
      </rPr>
      <t>の保険料と比較する際はこちら</t>
    </r>
    <rPh sb="1" eb="3">
      <t>ニンイ</t>
    </rPh>
    <rPh sb="3" eb="5">
      <t>ケイゾク</t>
    </rPh>
    <rPh sb="6" eb="9">
      <t>ホケンリョウ</t>
    </rPh>
    <rPh sb="10" eb="12">
      <t>ヒカク</t>
    </rPh>
    <rPh sb="14" eb="15">
      <t>サイ</t>
    </rPh>
    <phoneticPr fontId="3"/>
  </si>
  <si>
    <r>
      <rPr>
        <b/>
        <sz val="11"/>
        <color theme="5" tint="-0.499984740745262"/>
        <rFont val="游ゴシック"/>
        <family val="3"/>
        <charset val="128"/>
        <scheme val="minor"/>
      </rPr>
      <t>介護支援分</t>
    </r>
    <r>
      <rPr>
        <sz val="11"/>
        <color theme="1"/>
        <rFont val="游ゴシック"/>
        <family val="2"/>
        <charset val="128"/>
        <scheme val="minor"/>
      </rPr>
      <t>（40～64歳の間）</t>
    </r>
    <rPh sb="0" eb="2">
      <t>カイゴ</t>
    </rPh>
    <rPh sb="2" eb="4">
      <t>シエン</t>
    </rPh>
    <rPh sb="4" eb="5">
      <t>ブン</t>
    </rPh>
    <phoneticPr fontId="3"/>
  </si>
  <si>
    <t>年齢・免除確認の順に選択</t>
    <rPh sb="0" eb="1">
      <t>ネンレイ</t>
    </rPh>
    <rPh sb="3" eb="5">
      <t>メンジョ</t>
    </rPh>
    <rPh sb="4" eb="6">
      <t>カクニン</t>
    </rPh>
    <rPh sb="7" eb="8">
      <t>ジュン</t>
    </rPh>
    <phoneticPr fontId="3"/>
  </si>
  <si>
    <t>G</t>
    <phoneticPr fontId="3"/>
  </si>
  <si>
    <t>年間保険料（医療+後期+介護）</t>
    <rPh sb="0" eb="2">
      <t>ネンカン</t>
    </rPh>
    <rPh sb="2" eb="5">
      <t>ホケンリョウ</t>
    </rPh>
    <phoneticPr fontId="3"/>
  </si>
  <si>
    <r>
      <rPr>
        <b/>
        <sz val="11"/>
        <color theme="1"/>
        <rFont val="游ゴシック"/>
        <family val="3"/>
        <charset val="128"/>
        <scheme val="minor"/>
      </rPr>
      <t>給与所得</t>
    </r>
    <r>
      <rPr>
        <sz val="11"/>
        <color theme="1"/>
        <rFont val="游ゴシック"/>
        <family val="2"/>
        <charset val="128"/>
        <scheme val="minor"/>
      </rPr>
      <t xml:space="preserve">
</t>
    </r>
    <r>
      <rPr>
        <sz val="10"/>
        <color theme="1"/>
        <rFont val="游ゴシック"/>
        <family val="3"/>
        <charset val="128"/>
        <scheme val="minor"/>
      </rPr>
      <t xml:space="preserve">※源泉徴収票の「給与所得控除後の金額」を
</t>
    </r>
    <r>
      <rPr>
        <b/>
        <sz val="10"/>
        <color rgb="FFFF0000"/>
        <rFont val="游ゴシック"/>
        <family val="3"/>
        <charset val="128"/>
        <scheme val="minor"/>
      </rPr>
      <t>入力</t>
    </r>
    <rPh sb="0" eb="2">
      <t>キュウヨ</t>
    </rPh>
    <rPh sb="2" eb="4">
      <t>ショトク</t>
    </rPh>
    <rPh sb="6" eb="8">
      <t>ゲンセン</t>
    </rPh>
    <rPh sb="8" eb="11">
      <t>チョウシュウヒョウ</t>
    </rPh>
    <rPh sb="13" eb="15">
      <t>キュウヨ</t>
    </rPh>
    <rPh sb="15" eb="17">
      <t>ショトク</t>
    </rPh>
    <rPh sb="17" eb="19">
      <t>コウジョ</t>
    </rPh>
    <rPh sb="19" eb="20">
      <t>ゴ</t>
    </rPh>
    <rPh sb="21" eb="23">
      <t>キンガク</t>
    </rPh>
    <rPh sb="26" eb="28">
      <t>ニュウリョク</t>
    </rPh>
    <phoneticPr fontId="3"/>
  </si>
  <si>
    <r>
      <rPr>
        <b/>
        <sz val="11"/>
        <color theme="1"/>
        <rFont val="游ゴシック"/>
        <family val="3"/>
        <charset val="128"/>
        <scheme val="minor"/>
      </rPr>
      <t>年金収入</t>
    </r>
    <r>
      <rPr>
        <sz val="11"/>
        <color theme="1"/>
        <rFont val="游ゴシック"/>
        <family val="2"/>
        <charset val="128"/>
        <scheme val="minor"/>
      </rPr>
      <t xml:space="preserve">
</t>
    </r>
    <r>
      <rPr>
        <sz val="10"/>
        <color theme="1"/>
        <rFont val="游ゴシック"/>
        <family val="3"/>
        <charset val="128"/>
        <scheme val="minor"/>
      </rPr>
      <t>※源泉徴収票の「支払額」または保険料等を天引きされる</t>
    </r>
    <r>
      <rPr>
        <b/>
        <sz val="11"/>
        <rFont val="游ゴシック"/>
        <family val="3"/>
        <charset val="128"/>
        <scheme val="minor"/>
      </rPr>
      <t>前</t>
    </r>
    <r>
      <rPr>
        <sz val="10"/>
        <color theme="1"/>
        <rFont val="游ゴシック"/>
        <family val="3"/>
        <charset val="128"/>
        <scheme val="minor"/>
      </rPr>
      <t>の年間額を</t>
    </r>
    <r>
      <rPr>
        <b/>
        <sz val="10"/>
        <color rgb="FFFF0000"/>
        <rFont val="游ゴシック"/>
        <family val="3"/>
        <charset val="128"/>
        <scheme val="minor"/>
      </rPr>
      <t>入力</t>
    </r>
    <rPh sb="0" eb="2">
      <t>ネンキン</t>
    </rPh>
    <rPh sb="2" eb="4">
      <t>シュウニュウ</t>
    </rPh>
    <rPh sb="20" eb="23">
      <t>ホケンリョウ</t>
    </rPh>
    <rPh sb="23" eb="24">
      <t>ナド</t>
    </rPh>
    <rPh sb="25" eb="27">
      <t>テンビ</t>
    </rPh>
    <rPh sb="31" eb="32">
      <t>マエ</t>
    </rPh>
    <rPh sb="33" eb="35">
      <t>ネンカン</t>
    </rPh>
    <rPh sb="35" eb="36">
      <t>ガク</t>
    </rPh>
    <rPh sb="37" eb="39">
      <t>ニュウリョク</t>
    </rPh>
    <phoneticPr fontId="3"/>
  </si>
  <si>
    <t>年金収入の区分</t>
    <rPh sb="0" eb="2">
      <t>ネンキン</t>
    </rPh>
    <rPh sb="2" eb="4">
      <t>シュウニュウ</t>
    </rPh>
    <rPh sb="5" eb="7">
      <t>クブン</t>
    </rPh>
    <phoneticPr fontId="3"/>
  </si>
  <si>
    <t>【理由コード】11・12・21・22・23・31・32・33・34</t>
    <rPh sb="1" eb="3">
      <t>リユウ</t>
    </rPh>
    <phoneticPr fontId="3"/>
  </si>
  <si>
    <t>基礎控除額</t>
    <rPh sb="0" eb="2">
      <t>キソ</t>
    </rPh>
    <rPh sb="2" eb="4">
      <t>コウジョ</t>
    </rPh>
    <rPh sb="4" eb="5">
      <t>ガク</t>
    </rPh>
    <phoneticPr fontId="3"/>
  </si>
  <si>
    <t>※100円未満の端数は切捨て</t>
    <rPh sb="4" eb="5">
      <t>エン</t>
    </rPh>
    <rPh sb="5" eb="7">
      <t>ミマン</t>
    </rPh>
    <rPh sb="8" eb="10">
      <t>ハスウ</t>
    </rPh>
    <rPh sb="11" eb="12">
      <t>キ</t>
    </rPh>
    <rPh sb="12" eb="13">
      <t>ス</t>
    </rPh>
    <phoneticPr fontId="3"/>
  </si>
  <si>
    <t>※100円未満の
端数は切捨て</t>
    <rPh sb="4" eb="5">
      <t>エン</t>
    </rPh>
    <rPh sb="5" eb="7">
      <t>ミマン</t>
    </rPh>
    <rPh sb="9" eb="11">
      <t>ハスウ</t>
    </rPh>
    <rPh sb="12" eb="13">
      <t>キ</t>
    </rPh>
    <rPh sb="13" eb="14">
      <t>ス</t>
    </rPh>
    <phoneticPr fontId="3"/>
  </si>
  <si>
    <t>非自発的失業者とは：解雇などで失業し、雇用保険受給資格者証で</t>
    <rPh sb="0" eb="1">
      <t>ヒ</t>
    </rPh>
    <rPh sb="1" eb="4">
      <t>ジハツテキ</t>
    </rPh>
    <rPh sb="4" eb="7">
      <t>シツギョウシャ</t>
    </rPh>
    <rPh sb="10" eb="12">
      <t>カイコ</t>
    </rPh>
    <rPh sb="15" eb="17">
      <t>シツギョウ</t>
    </rPh>
    <rPh sb="19" eb="21">
      <t>コヨウ</t>
    </rPh>
    <rPh sb="21" eb="23">
      <t>ホケン</t>
    </rPh>
    <rPh sb="23" eb="25">
      <t>ジュキュウ</t>
    </rPh>
    <rPh sb="25" eb="28">
      <t>シカクシャ</t>
    </rPh>
    <rPh sb="28" eb="29">
      <t>ショウ</t>
    </rPh>
    <phoneticPr fontId="3"/>
  </si>
  <si>
    <t xml:space="preserve"> 該当の離職理由コードがある方</t>
    <phoneticPr fontId="3"/>
  </si>
  <si>
    <t>×被保険者数</t>
    <rPh sb="1" eb="5">
      <t>ヒホケンシャ</t>
    </rPh>
    <rPh sb="5" eb="6">
      <t>スウ</t>
    </rPh>
    <phoneticPr fontId="3"/>
  </si>
  <si>
    <t>×給与者等</t>
    <rPh sb="1" eb="3">
      <t>キュウヨ</t>
    </rPh>
    <rPh sb="3" eb="4">
      <t>シャ</t>
    </rPh>
    <rPh sb="4" eb="5">
      <t>トウ</t>
    </rPh>
    <phoneticPr fontId="3"/>
  </si>
  <si>
    <t>基礎控除</t>
    <rPh sb="0" eb="2">
      <t>キソ</t>
    </rPh>
    <rPh sb="2" eb="4">
      <t>コウジョ</t>
    </rPh>
    <phoneticPr fontId="3"/>
  </si>
  <si>
    <r>
      <rPr>
        <b/>
        <sz val="11"/>
        <color theme="1"/>
        <rFont val="游ゴシック"/>
        <family val="3"/>
        <charset val="128"/>
        <scheme val="minor"/>
      </rPr>
      <t>事業所得</t>
    </r>
    <r>
      <rPr>
        <sz val="10"/>
        <color theme="1"/>
        <rFont val="游ゴシック"/>
        <family val="3"/>
        <charset val="128"/>
        <scheme val="minor"/>
      </rPr>
      <t xml:space="preserve">や
</t>
    </r>
    <r>
      <rPr>
        <b/>
        <sz val="10"/>
        <color theme="1"/>
        <rFont val="游ゴシック"/>
        <family val="3"/>
        <charset val="128"/>
        <scheme val="minor"/>
      </rPr>
      <t>その他の</t>
    </r>
    <r>
      <rPr>
        <b/>
        <sz val="11"/>
        <color theme="1"/>
        <rFont val="游ゴシック"/>
        <family val="3"/>
        <charset val="128"/>
        <scheme val="minor"/>
      </rPr>
      <t>所得</t>
    </r>
    <r>
      <rPr>
        <sz val="11"/>
        <color theme="1"/>
        <rFont val="游ゴシック"/>
        <family val="2"/>
        <charset val="128"/>
        <scheme val="minor"/>
      </rPr>
      <t xml:space="preserve">
</t>
    </r>
    <r>
      <rPr>
        <sz val="10"/>
        <color theme="1"/>
        <rFont val="游ゴシック"/>
        <family val="3"/>
        <charset val="128"/>
        <scheme val="minor"/>
      </rPr>
      <t>※必要経費等控除後の額を</t>
    </r>
    <r>
      <rPr>
        <b/>
        <sz val="10"/>
        <color rgb="FFFF0000"/>
        <rFont val="游ゴシック"/>
        <family val="3"/>
        <charset val="128"/>
        <scheme val="minor"/>
      </rPr>
      <t>入力</t>
    </r>
    <rPh sb="0" eb="2">
      <t>ジギョウ</t>
    </rPh>
    <rPh sb="2" eb="4">
      <t>ショトク</t>
    </rPh>
    <rPh sb="8" eb="9">
      <t>タ</t>
    </rPh>
    <rPh sb="10" eb="12">
      <t>ショトク</t>
    </rPh>
    <rPh sb="14" eb="16">
      <t>ヒツヨウ</t>
    </rPh>
    <rPh sb="16" eb="18">
      <t>ケイヒ</t>
    </rPh>
    <rPh sb="18" eb="19">
      <t>ナド</t>
    </rPh>
    <rPh sb="19" eb="21">
      <t>コウジョ</t>
    </rPh>
    <rPh sb="21" eb="22">
      <t>ゴ</t>
    </rPh>
    <rPh sb="23" eb="24">
      <t>ガク</t>
    </rPh>
    <rPh sb="25" eb="27">
      <t>ニュウリョク</t>
    </rPh>
    <phoneticPr fontId="3"/>
  </si>
  <si>
    <t>年齢空白</t>
    <rPh sb="0" eb="2">
      <t>ネンレイ</t>
    </rPh>
    <rPh sb="2" eb="4">
      <t>クウハク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</si>
</sst>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49">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游ゴシック"/>
      <family val="3"/>
      <charset val="128"/>
      <scheme val="minor"/>
    </font>
    <font>
      <sz val="11"/>
      <color theme="0"/>
      <name val="游ゴシック"/>
      <family val="3"/>
      <charset val="128"/>
      <scheme val="minor"/>
    </font>
    <font>
      <u/>
      <sz val="11"/>
      <color theme="1"/>
      <name val="游ゴシック"/>
      <family val="2"/>
      <charset val="128"/>
      <scheme val="minor"/>
    </font>
    <font>
      <b/>
      <sz val="11"/>
      <color theme="0"/>
      <name val="游ゴシック"/>
      <family val="3"/>
      <charset val="128"/>
      <scheme val="minor"/>
    </font>
    <font>
      <sz val="10"/>
      <color theme="1"/>
      <name val="游ゴシック"/>
      <family val="2"/>
      <charset val="128"/>
      <scheme val="minor"/>
    </font>
    <font>
      <b/>
      <sz val="14"/>
      <color rgb="FF0070C0"/>
      <name val="游ゴシック"/>
      <family val="3"/>
      <charset val="128"/>
      <scheme val="minor"/>
    </font>
    <font>
      <b/>
      <sz val="16"/>
      <color rgb="FF00B050"/>
      <name val="游ゴシック"/>
      <family val="3"/>
      <charset val="128"/>
      <scheme val="minor"/>
    </font>
    <font>
      <sz val="10"/>
      <color theme="1"/>
      <name val="游ゴシック"/>
      <family val="3"/>
      <charset val="128"/>
      <scheme val="minor"/>
    </font>
    <font>
      <b/>
      <sz val="12"/>
      <color theme="0"/>
      <name val="游ゴシック"/>
      <family val="3"/>
      <charset val="128"/>
      <scheme val="minor"/>
    </font>
    <font>
      <b/>
      <sz val="9"/>
      <color theme="1"/>
      <name val="游ゴシック"/>
      <family val="3"/>
      <charset val="128"/>
      <scheme val="minor"/>
    </font>
    <font>
      <b/>
      <sz val="12"/>
      <color theme="1"/>
      <name val="游ゴシック"/>
      <family val="3"/>
      <charset val="128"/>
      <scheme val="minor"/>
    </font>
    <font>
      <b/>
      <sz val="11"/>
      <color rgb="FF0070C0"/>
      <name val="游ゴシック"/>
      <family val="3"/>
      <charset val="128"/>
      <scheme val="minor"/>
    </font>
    <font>
      <b/>
      <sz val="9"/>
      <color rgb="FF0070C0"/>
      <name val="游ゴシック"/>
      <family val="3"/>
      <charset val="128"/>
      <scheme val="minor"/>
    </font>
    <font>
      <b/>
      <sz val="16"/>
      <name val="游ゴシック"/>
      <family val="3"/>
      <charset val="128"/>
      <scheme val="minor"/>
    </font>
    <font>
      <sz val="11"/>
      <color theme="1"/>
      <name val="游ゴシック"/>
      <family val="3"/>
      <charset val="128"/>
      <scheme val="minor"/>
    </font>
    <font>
      <b/>
      <sz val="10"/>
      <color rgb="FFFF0000"/>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0" tint="-0.34998626667073579"/>
      <name val="游ゴシック"/>
      <family val="3"/>
      <charset val="128"/>
      <scheme val="minor"/>
    </font>
    <font>
      <sz val="11"/>
      <color theme="0" tint="-0.499984740745262"/>
      <name val="游ゴシック"/>
      <family val="2"/>
      <charset val="128"/>
      <scheme val="minor"/>
    </font>
    <font>
      <sz val="11"/>
      <color theme="0" tint="-0.499984740745262"/>
      <name val="游ゴシック"/>
      <family val="3"/>
      <charset val="128"/>
      <scheme val="minor"/>
    </font>
    <font>
      <b/>
      <u/>
      <sz val="11"/>
      <color theme="0"/>
      <name val="游ゴシック"/>
      <family val="3"/>
      <charset val="128"/>
      <scheme val="minor"/>
    </font>
    <font>
      <b/>
      <sz val="11"/>
      <name val="游ゴシック"/>
      <family val="3"/>
      <charset val="128"/>
      <scheme val="minor"/>
    </font>
    <font>
      <sz val="8"/>
      <color theme="1"/>
      <name val="游ゴシック"/>
      <family val="2"/>
      <charset val="128"/>
      <scheme val="minor"/>
    </font>
    <font>
      <sz val="16"/>
      <color theme="1"/>
      <name val="游ゴシック"/>
      <family val="2"/>
      <charset val="128"/>
      <scheme val="minor"/>
    </font>
    <font>
      <sz val="16"/>
      <color theme="1"/>
      <name val="游ゴシック"/>
      <family val="3"/>
      <charset val="128"/>
      <scheme val="minor"/>
    </font>
    <font>
      <u/>
      <sz val="9"/>
      <color theme="1"/>
      <name val="游ゴシック"/>
      <family val="2"/>
      <charset val="128"/>
      <scheme val="minor"/>
    </font>
    <font>
      <sz val="11"/>
      <color theme="0" tint="-0.249977111117893"/>
      <name val="游ゴシック"/>
      <family val="2"/>
      <charset val="128"/>
      <scheme val="minor"/>
    </font>
    <font>
      <b/>
      <sz val="10"/>
      <color theme="0"/>
      <name val="游ゴシック"/>
      <family val="3"/>
      <charset val="128"/>
      <scheme val="minor"/>
    </font>
    <font>
      <b/>
      <sz val="16"/>
      <color rgb="FF0070C0"/>
      <name val="游ゴシック"/>
      <family val="3"/>
      <charset val="128"/>
      <scheme val="minor"/>
    </font>
    <font>
      <b/>
      <sz val="12"/>
      <color rgb="FF0070C0"/>
      <name val="游ゴシック"/>
      <family val="3"/>
      <charset val="128"/>
      <scheme val="minor"/>
    </font>
    <font>
      <sz val="10"/>
      <color theme="0"/>
      <name val="游ゴシック"/>
      <family val="3"/>
      <charset val="128"/>
      <scheme val="minor"/>
    </font>
    <font>
      <b/>
      <sz val="9"/>
      <color theme="0"/>
      <name val="游ゴシック"/>
      <family val="3"/>
      <charset val="128"/>
      <scheme val="minor"/>
    </font>
    <font>
      <b/>
      <sz val="11"/>
      <color rgb="FF00B050"/>
      <name val="游ゴシック"/>
      <family val="3"/>
      <charset val="128"/>
      <scheme val="minor"/>
    </font>
    <font>
      <b/>
      <sz val="14"/>
      <color rgb="FF00B050"/>
      <name val="游ゴシック"/>
      <family val="3"/>
      <charset val="128"/>
      <scheme val="minor"/>
    </font>
    <font>
      <b/>
      <sz val="11"/>
      <color theme="9" tint="-0.499984740745262"/>
      <name val="游ゴシック"/>
      <family val="3"/>
      <charset val="128"/>
      <scheme val="minor"/>
    </font>
    <font>
      <b/>
      <sz val="11"/>
      <color theme="8" tint="-0.499984740745262"/>
      <name val="游ゴシック"/>
      <family val="3"/>
      <charset val="128"/>
      <scheme val="minor"/>
    </font>
    <font>
      <b/>
      <sz val="11"/>
      <color theme="5" tint="-0.499984740745262"/>
      <name val="游ゴシック"/>
      <family val="3"/>
      <charset val="128"/>
      <scheme val="minor"/>
    </font>
    <font>
      <b/>
      <sz val="11"/>
      <color theme="8" tint="-0.249977111117893"/>
      <name val="游ゴシック"/>
      <family val="3"/>
      <charset val="128"/>
      <scheme val="minor"/>
    </font>
    <font>
      <b/>
      <sz val="12"/>
      <color theme="8" tint="-0.249977111117893"/>
      <name val="游ゴシック"/>
      <family val="3"/>
      <charset val="128"/>
      <scheme val="minor"/>
    </font>
    <font>
      <b/>
      <sz val="12"/>
      <color theme="9" tint="-0.499984740745262"/>
      <name val="游ゴシック"/>
      <family val="3"/>
      <charset val="128"/>
      <scheme val="minor"/>
    </font>
    <font>
      <b/>
      <sz val="12"/>
      <color theme="5" tint="-0.499984740745262"/>
      <name val="游ゴシック"/>
      <family val="3"/>
      <charset val="128"/>
      <scheme val="minor"/>
    </font>
    <font>
      <b/>
      <sz val="10"/>
      <color theme="1"/>
      <name val="游ゴシック"/>
      <family val="3"/>
      <charset val="128"/>
      <scheme val="minor"/>
    </font>
    <font>
      <sz val="9"/>
      <color theme="0"/>
      <name val="游ゴシック"/>
      <family val="3"/>
      <charset val="128"/>
      <scheme val="minor"/>
    </font>
  </fonts>
  <fills count="17">
    <fill>
      <patternFill patternType="none"/>
    </fill>
    <fill>
      <patternFill patternType="gray125"/>
    </fill>
    <fill>
      <patternFill patternType="solid">
        <fgColor theme="9"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E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00206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tint="-0.24994659260841701"/>
      </right>
      <top/>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right/>
      <top style="thin">
        <color theme="0"/>
      </top>
      <bottom style="thin">
        <color theme="0"/>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medium">
        <color theme="0" tint="-0.249977111117893"/>
      </left>
      <right style="medium">
        <color theme="0" tint="-0.249977111117893"/>
      </right>
      <top style="medium">
        <color theme="0" tint="-0.249977111117893"/>
      </top>
      <bottom style="medium">
        <color theme="0" tint="-0.249977111117893"/>
      </bottom>
      <diagonal/>
    </border>
    <border>
      <left style="thin">
        <color indexed="64"/>
      </left>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indexed="64"/>
      </right>
      <top/>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indexed="64"/>
      </left>
      <right style="medium">
        <color indexed="64"/>
      </right>
      <top/>
      <bottom/>
      <diagonal/>
    </border>
    <border>
      <left/>
      <right/>
      <top style="thin">
        <color indexed="64"/>
      </top>
      <bottom/>
      <diagonal/>
    </border>
    <border>
      <left/>
      <right/>
      <top style="thin">
        <color indexed="64"/>
      </top>
      <bottom style="thin">
        <color indexed="64"/>
      </bottom>
      <diagonal/>
    </border>
    <border>
      <left style="thin">
        <color theme="0" tint="-0.249977111117893"/>
      </left>
      <right style="thin">
        <color theme="0" tint="-0.249977111117893"/>
      </right>
      <top/>
      <bottom style="thin">
        <color theme="0" tint="-0.249977111117893"/>
      </bottom>
      <diagonal/>
    </border>
    <border>
      <left/>
      <right/>
      <top/>
      <bottom style="thick">
        <color rgb="FFFF0000"/>
      </bottom>
      <diagonal/>
    </border>
    <border>
      <left style="thin">
        <color theme="0" tint="-0.249977111117893"/>
      </left>
      <right style="thin">
        <color theme="0" tint="-0.249977111117893"/>
      </right>
      <top style="thick">
        <color rgb="FFFF0000"/>
      </top>
      <bottom style="thick">
        <color rgb="FFFF0000"/>
      </bottom>
      <diagonal/>
    </border>
    <border>
      <left/>
      <right/>
      <top style="thick">
        <color rgb="FFFF0000"/>
      </top>
      <bottom style="thick">
        <color rgb="FFFF0000"/>
      </bottom>
      <diagonal/>
    </border>
    <border>
      <left/>
      <right style="thin">
        <color theme="0" tint="-0.24994659260841701"/>
      </right>
      <top style="thick">
        <color rgb="FFFF0000"/>
      </top>
      <bottom style="thick">
        <color rgb="FFFF0000"/>
      </bottom>
      <diagonal/>
    </border>
    <border>
      <left style="thin">
        <color theme="0" tint="-0.24994659260841701"/>
      </left>
      <right style="thin">
        <color theme="0" tint="-0.24994659260841701"/>
      </right>
      <top style="thick">
        <color rgb="FFFF0000"/>
      </top>
      <bottom style="thick">
        <color rgb="FFFF0000"/>
      </bottom>
      <diagonal/>
    </border>
    <border>
      <left style="thin">
        <color theme="0" tint="-0.24994659260841701"/>
      </left>
      <right style="thick">
        <color rgb="FFFF0000"/>
      </right>
      <top style="thick">
        <color rgb="FFFF0000"/>
      </top>
      <bottom style="thick">
        <color rgb="FFFF0000"/>
      </bottom>
      <diagonal/>
    </border>
    <border>
      <left style="thick">
        <color rgb="FFFF0000"/>
      </left>
      <right style="thin">
        <color indexed="64"/>
      </right>
      <top style="thick">
        <color rgb="FFFF0000"/>
      </top>
      <bottom style="thick">
        <color rgb="FFFF0000"/>
      </bottom>
      <diagonal/>
    </border>
    <border>
      <left/>
      <right style="thin">
        <color theme="0" tint="-0.249977111117893"/>
      </right>
      <top style="thick">
        <color rgb="FFFF0000"/>
      </top>
      <bottom style="thick">
        <color rgb="FFFF0000"/>
      </bottom>
      <diagonal/>
    </border>
    <border>
      <left style="thin">
        <color indexed="64"/>
      </left>
      <right style="thin">
        <color theme="0" tint="-0.249977111117893"/>
      </right>
      <top style="thick">
        <color rgb="FFFF0000"/>
      </top>
      <bottom style="thick">
        <color rgb="FFFF0000"/>
      </bottom>
      <diagonal/>
    </border>
    <border>
      <left/>
      <right style="thin">
        <color theme="0" tint="-0.249977111117893"/>
      </right>
      <top/>
      <bottom/>
      <diagonal/>
    </border>
    <border>
      <left/>
      <right/>
      <top/>
      <bottom style="thin">
        <color theme="0" tint="-0.249977111117893"/>
      </bottom>
      <diagonal/>
    </border>
    <border>
      <left/>
      <right style="thin">
        <color theme="0" tint="-0.249977111117893"/>
      </right>
      <top/>
      <bottom style="thin">
        <color theme="0"/>
      </bottom>
      <diagonal/>
    </border>
    <border>
      <left style="thin">
        <color theme="0"/>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55">
    <xf numFmtId="0" fontId="0" fillId="0" borderId="0" xfId="0">
      <alignment vertical="center"/>
    </xf>
    <xf numFmtId="0" fontId="0" fillId="0" borderId="1" xfId="0" applyBorder="1">
      <alignment vertical="center"/>
    </xf>
    <xf numFmtId="38" fontId="0" fillId="0" borderId="0" xfId="1" applyFont="1">
      <alignment vertical="center"/>
    </xf>
    <xf numFmtId="38" fontId="0" fillId="0" borderId="0" xfId="0" applyNumberFormat="1" applyAlignment="1">
      <alignment horizontal="center" vertical="center"/>
    </xf>
    <xf numFmtId="0" fontId="0" fillId="0" borderId="0" xfId="0" applyAlignment="1">
      <alignment horizontal="center" vertical="center"/>
    </xf>
    <xf numFmtId="0" fontId="0" fillId="3" borderId="1" xfId="0" applyFill="1" applyBorder="1">
      <alignment vertical="center"/>
    </xf>
    <xf numFmtId="0" fontId="2" fillId="2" borderId="0" xfId="0" applyFont="1" applyFill="1">
      <alignment vertical="center"/>
    </xf>
    <xf numFmtId="0" fontId="6" fillId="2" borderId="0" xfId="0" applyFont="1" applyFill="1">
      <alignment vertical="center"/>
    </xf>
    <xf numFmtId="0" fontId="5" fillId="0" borderId="0" xfId="0" applyFont="1">
      <alignment vertical="center"/>
    </xf>
    <xf numFmtId="0" fontId="0" fillId="0" borderId="3" xfId="0" applyBorder="1">
      <alignment vertical="center"/>
    </xf>
    <xf numFmtId="38" fontId="0" fillId="0" borderId="1" xfId="1" applyFont="1" applyBorder="1">
      <alignment vertical="center"/>
    </xf>
    <xf numFmtId="176" fontId="0" fillId="0" borderId="1" xfId="1" applyNumberFormat="1" applyFont="1" applyBorder="1">
      <alignment vertical="center"/>
    </xf>
    <xf numFmtId="176" fontId="0" fillId="0" borderId="1" xfId="1" applyNumberFormat="1" applyFont="1" applyFill="1" applyBorder="1">
      <alignment vertical="center"/>
    </xf>
    <xf numFmtId="38" fontId="4" fillId="0" borderId="1" xfId="1" applyFont="1" applyBorder="1" applyAlignment="1">
      <alignment horizontal="center" vertical="center"/>
    </xf>
    <xf numFmtId="38" fontId="4" fillId="0" borderId="1" xfId="1" applyFont="1" applyFill="1" applyBorder="1" applyAlignment="1">
      <alignment horizontal="center" vertical="center"/>
    </xf>
    <xf numFmtId="0" fontId="8" fillId="7" borderId="1" xfId="0" applyFont="1" applyFill="1" applyBorder="1" applyAlignment="1">
      <alignment horizontal="center" vertical="center"/>
    </xf>
    <xf numFmtId="0" fontId="8" fillId="0" borderId="0" xfId="0" applyFont="1" applyAlignment="1">
      <alignment horizontal="center" vertical="center"/>
    </xf>
    <xf numFmtId="0" fontId="8" fillId="7" borderId="6" xfId="0" applyFont="1" applyFill="1" applyBorder="1" applyAlignment="1">
      <alignment horizontal="center" vertical="center"/>
    </xf>
    <xf numFmtId="0" fontId="0" fillId="9" borderId="0" xfId="0" applyFill="1">
      <alignment vertical="center"/>
    </xf>
    <xf numFmtId="0" fontId="4" fillId="9" borderId="0" xfId="0" applyFont="1" applyFill="1">
      <alignment vertical="center"/>
    </xf>
    <xf numFmtId="0" fontId="14" fillId="9" borderId="0" xfId="0" applyFont="1" applyFill="1">
      <alignment vertical="center"/>
    </xf>
    <xf numFmtId="0" fontId="8" fillId="7" borderId="5" xfId="0" applyFont="1" applyFill="1" applyBorder="1" applyAlignment="1">
      <alignment horizontal="center" vertical="center"/>
    </xf>
    <xf numFmtId="0" fontId="0" fillId="3" borderId="5" xfId="0" applyFill="1" applyBorder="1">
      <alignment vertical="center"/>
    </xf>
    <xf numFmtId="0" fontId="7" fillId="9" borderId="0" xfId="0" applyFont="1" applyFill="1">
      <alignment vertical="center"/>
    </xf>
    <xf numFmtId="38" fontId="11" fillId="0" borderId="0" xfId="0" applyNumberFormat="1" applyFont="1" applyAlignment="1">
      <alignment horizontal="center" vertical="center"/>
    </xf>
    <xf numFmtId="0" fontId="15" fillId="0" borderId="0" xfId="0" applyFont="1" applyAlignment="1">
      <alignment horizontal="center" vertical="center"/>
    </xf>
    <xf numFmtId="0" fontId="13" fillId="0" borderId="0" xfId="0" applyFont="1" applyAlignment="1">
      <alignment horizontal="center" vertical="center"/>
    </xf>
    <xf numFmtId="0" fontId="16" fillId="9" borderId="0" xfId="0" applyFont="1" applyFill="1">
      <alignment vertical="center"/>
    </xf>
    <xf numFmtId="0" fontId="16" fillId="9" borderId="0" xfId="0" applyFont="1" applyFill="1" applyAlignment="1">
      <alignment horizontal="left" vertical="center"/>
    </xf>
    <xf numFmtId="0" fontId="17" fillId="9" borderId="0" xfId="0" applyFont="1" applyFill="1">
      <alignment vertical="center"/>
    </xf>
    <xf numFmtId="0" fontId="21" fillId="9" borderId="8" xfId="0" applyFont="1" applyFill="1" applyBorder="1" applyAlignment="1">
      <alignment vertical="center" wrapText="1"/>
    </xf>
    <xf numFmtId="0" fontId="22" fillId="9" borderId="8" xfId="0" applyFont="1" applyFill="1" applyBorder="1" applyAlignment="1">
      <alignment vertical="center" wrapText="1"/>
    </xf>
    <xf numFmtId="0" fontId="21" fillId="9" borderId="8" xfId="0" applyFont="1" applyFill="1" applyBorder="1">
      <alignment vertical="center"/>
    </xf>
    <xf numFmtId="0" fontId="22" fillId="9" borderId="9" xfId="0" applyFont="1" applyFill="1" applyBorder="1" applyAlignment="1">
      <alignment vertical="center" wrapText="1"/>
    </xf>
    <xf numFmtId="0" fontId="0" fillId="0" borderId="7" xfId="0" applyBorder="1">
      <alignment vertical="center"/>
    </xf>
    <xf numFmtId="0" fontId="0" fillId="5" borderId="8" xfId="0" applyFill="1" applyBorder="1">
      <alignment vertical="center"/>
    </xf>
    <xf numFmtId="0" fontId="0" fillId="0" borderId="8" xfId="0" applyBorder="1">
      <alignment vertical="center"/>
    </xf>
    <xf numFmtId="0" fontId="0" fillId="4" borderId="8" xfId="0" applyFill="1" applyBorder="1">
      <alignment vertical="center"/>
    </xf>
    <xf numFmtId="0" fontId="0" fillId="6" borderId="8" xfId="0" applyFill="1" applyBorder="1">
      <alignment vertical="center"/>
    </xf>
    <xf numFmtId="0" fontId="0" fillId="0" borderId="10" xfId="0" applyBorder="1">
      <alignment vertical="center"/>
    </xf>
    <xf numFmtId="0" fontId="0" fillId="5" borderId="0" xfId="0" applyFill="1" applyAlignment="1">
      <alignment horizontal="center" vertical="center"/>
    </xf>
    <xf numFmtId="0" fontId="0" fillId="4" borderId="0" xfId="0" applyFill="1" applyAlignment="1">
      <alignment horizontal="center" vertical="center"/>
    </xf>
    <xf numFmtId="0" fontId="0" fillId="6" borderId="0" xfId="0" applyFill="1" applyAlignment="1">
      <alignment horizontal="center" vertical="center"/>
    </xf>
    <xf numFmtId="0" fontId="0" fillId="0" borderId="13" xfId="0" applyBorder="1">
      <alignment vertical="center"/>
    </xf>
    <xf numFmtId="38" fontId="0" fillId="9" borderId="0" xfId="1" applyFont="1" applyFill="1" applyBorder="1">
      <alignment vertical="center"/>
    </xf>
    <xf numFmtId="0" fontId="0" fillId="0" borderId="12" xfId="0" applyBorder="1">
      <alignment vertical="center"/>
    </xf>
    <xf numFmtId="0" fontId="21" fillId="9" borderId="0" xfId="0" applyFont="1" applyFill="1" applyAlignment="1">
      <alignment vertical="center" wrapText="1"/>
    </xf>
    <xf numFmtId="0" fontId="22" fillId="9" borderId="0" xfId="0" applyFont="1" applyFill="1" applyAlignment="1">
      <alignment vertical="center" wrapText="1"/>
    </xf>
    <xf numFmtId="0" fontId="21" fillId="9" borderId="0" xfId="0" applyFont="1" applyFill="1">
      <alignment vertical="center"/>
    </xf>
    <xf numFmtId="38" fontId="0" fillId="0" borderId="1" xfId="0" applyNumberFormat="1" applyBorder="1">
      <alignment vertical="center"/>
    </xf>
    <xf numFmtId="38" fontId="0" fillId="0" borderId="17" xfId="1" applyFont="1" applyFill="1" applyBorder="1">
      <alignment vertical="center"/>
    </xf>
    <xf numFmtId="38" fontId="0" fillId="0" borderId="19" xfId="1" applyFont="1" applyFill="1" applyBorder="1">
      <alignment vertical="center"/>
    </xf>
    <xf numFmtId="38" fontId="0" fillId="0" borderId="18" xfId="1" applyFont="1" applyFill="1" applyBorder="1">
      <alignment vertical="center"/>
    </xf>
    <xf numFmtId="38" fontId="0" fillId="9" borderId="17" xfId="1" applyFont="1" applyFill="1" applyBorder="1">
      <alignment vertical="center"/>
    </xf>
    <xf numFmtId="38" fontId="0" fillId="9" borderId="19" xfId="1" applyFont="1" applyFill="1" applyBorder="1">
      <alignment vertical="center"/>
    </xf>
    <xf numFmtId="38" fontId="0" fillId="9" borderId="18" xfId="1" applyFont="1" applyFill="1" applyBorder="1">
      <alignment vertical="center"/>
    </xf>
    <xf numFmtId="9" fontId="0" fillId="0" borderId="0" xfId="2" applyFont="1">
      <alignment vertical="center"/>
    </xf>
    <xf numFmtId="38" fontId="0" fillId="0" borderId="0" xfId="0" applyNumberFormat="1">
      <alignment vertical="center"/>
    </xf>
    <xf numFmtId="0" fontId="0" fillId="9" borderId="16" xfId="0" applyFill="1" applyBorder="1">
      <alignment vertical="center"/>
    </xf>
    <xf numFmtId="0" fontId="24" fillId="5" borderId="0" xfId="0" applyFont="1" applyFill="1" applyAlignment="1">
      <alignment horizontal="center" vertical="center"/>
    </xf>
    <xf numFmtId="38" fontId="25" fillId="5" borderId="0" xfId="1" applyFont="1" applyFill="1" applyBorder="1">
      <alignment vertical="center"/>
    </xf>
    <xf numFmtId="0" fontId="25" fillId="0" borderId="0" xfId="0" applyFont="1" applyAlignment="1">
      <alignment horizontal="center" vertical="center"/>
    </xf>
    <xf numFmtId="38" fontId="25" fillId="0" borderId="0" xfId="1" applyFont="1" applyFill="1" applyBorder="1">
      <alignment vertical="center"/>
    </xf>
    <xf numFmtId="0" fontId="25" fillId="0" borderId="0" xfId="0" applyFont="1">
      <alignment vertical="center"/>
    </xf>
    <xf numFmtId="0" fontId="24" fillId="4" borderId="0" xfId="0" applyFont="1" applyFill="1" applyAlignment="1">
      <alignment horizontal="center" vertical="center"/>
    </xf>
    <xf numFmtId="38" fontId="25" fillId="4" borderId="0" xfId="1" applyFont="1" applyFill="1" applyBorder="1">
      <alignment vertical="center"/>
    </xf>
    <xf numFmtId="38" fontId="24" fillId="6" borderId="0" xfId="1" applyFont="1" applyFill="1">
      <alignment vertical="center"/>
    </xf>
    <xf numFmtId="0" fontId="24" fillId="0" borderId="0" xfId="0" applyFont="1">
      <alignment vertical="center"/>
    </xf>
    <xf numFmtId="0" fontId="24" fillId="6" borderId="0" xfId="0" applyFont="1" applyFill="1" applyAlignment="1">
      <alignment horizontal="center" vertical="center"/>
    </xf>
    <xf numFmtId="0" fontId="26" fillId="9" borderId="0" xfId="0" applyFont="1" applyFill="1">
      <alignment vertical="center"/>
    </xf>
    <xf numFmtId="0" fontId="8" fillId="9" borderId="0" xfId="0" applyFont="1" applyFill="1">
      <alignment vertical="center"/>
    </xf>
    <xf numFmtId="38" fontId="8" fillId="9" borderId="0" xfId="1" applyFont="1" applyFill="1">
      <alignment vertical="center"/>
    </xf>
    <xf numFmtId="38" fontId="27" fillId="9" borderId="0" xfId="1" applyFont="1" applyFill="1">
      <alignment vertical="center"/>
    </xf>
    <xf numFmtId="0" fontId="0" fillId="9" borderId="0" xfId="0" applyFill="1" applyAlignment="1">
      <alignment horizontal="left" vertical="center"/>
    </xf>
    <xf numFmtId="0" fontId="8" fillId="7" borderId="1" xfId="0" applyFont="1" applyFill="1" applyBorder="1">
      <alignment vertical="center"/>
    </xf>
    <xf numFmtId="0" fontId="4" fillId="0" borderId="0" xfId="0" applyFont="1">
      <alignment vertical="center"/>
    </xf>
    <xf numFmtId="38" fontId="4" fillId="3" borderId="5" xfId="0" applyNumberFormat="1" applyFont="1" applyFill="1" applyBorder="1">
      <alignment vertical="center"/>
    </xf>
    <xf numFmtId="0" fontId="4" fillId="3" borderId="1" xfId="0" applyFont="1" applyFill="1" applyBorder="1">
      <alignment vertical="center"/>
    </xf>
    <xf numFmtId="0" fontId="8" fillId="7" borderId="24" xfId="0" applyFont="1" applyFill="1" applyBorder="1" applyAlignment="1">
      <alignment horizontal="center" vertical="center"/>
    </xf>
    <xf numFmtId="0" fontId="8" fillId="7" borderId="25" xfId="0" applyFont="1" applyFill="1" applyBorder="1" applyAlignment="1">
      <alignment horizontal="center" vertical="center"/>
    </xf>
    <xf numFmtId="0" fontId="4" fillId="3" borderId="26" xfId="0" applyFont="1" applyFill="1" applyBorder="1">
      <alignment vertical="center"/>
    </xf>
    <xf numFmtId="0" fontId="0" fillId="3" borderId="27" xfId="0" applyFill="1" applyBorder="1">
      <alignment vertical="center"/>
    </xf>
    <xf numFmtId="0" fontId="0" fillId="0" borderId="4" xfId="0" applyBorder="1">
      <alignment vertical="center"/>
    </xf>
    <xf numFmtId="0" fontId="28" fillId="0" borderId="1" xfId="0" applyFont="1" applyBorder="1">
      <alignment vertical="center"/>
    </xf>
    <xf numFmtId="38" fontId="0" fillId="3" borderId="1" xfId="1" applyFont="1" applyFill="1" applyBorder="1">
      <alignment vertical="center"/>
    </xf>
    <xf numFmtId="0" fontId="9" fillId="0" borderId="0" xfId="0" applyFont="1">
      <alignment vertical="center"/>
    </xf>
    <xf numFmtId="0" fontId="12" fillId="3" borderId="1" xfId="0" applyFont="1" applyFill="1" applyBorder="1">
      <alignment vertical="center"/>
    </xf>
    <xf numFmtId="9" fontId="12" fillId="0" borderId="0" xfId="2" applyFont="1">
      <alignment vertical="center"/>
    </xf>
    <xf numFmtId="0" fontId="0" fillId="0" borderId="0" xfId="0" applyAlignment="1">
      <alignment vertical="center" wrapText="1"/>
    </xf>
    <xf numFmtId="0" fontId="29" fillId="4" borderId="12" xfId="0" applyFont="1" applyFill="1" applyBorder="1" applyAlignment="1">
      <alignment horizontal="center" vertical="center"/>
    </xf>
    <xf numFmtId="0" fontId="30" fillId="4" borderId="28" xfId="0" applyFont="1" applyFill="1" applyBorder="1" applyAlignment="1">
      <alignment horizontal="center" vertical="center"/>
    </xf>
    <xf numFmtId="0" fontId="30" fillId="4" borderId="11" xfId="0" applyFont="1" applyFill="1" applyBorder="1" applyAlignment="1">
      <alignment horizontal="center" vertical="center"/>
    </xf>
    <xf numFmtId="0" fontId="0" fillId="9" borderId="0" xfId="0" applyFill="1" applyAlignment="1">
      <alignment horizontal="right" vertical="center"/>
    </xf>
    <xf numFmtId="0" fontId="0" fillId="9" borderId="1" xfId="0" applyFill="1" applyBorder="1">
      <alignment vertical="center"/>
    </xf>
    <xf numFmtId="0" fontId="0" fillId="0" borderId="0" xfId="0" applyAlignment="1">
      <alignment horizontal="right" vertical="center"/>
    </xf>
    <xf numFmtId="38" fontId="0" fillId="4" borderId="10" xfId="1" applyFont="1" applyFill="1" applyBorder="1">
      <alignment vertical="center"/>
    </xf>
    <xf numFmtId="38" fontId="21" fillId="9" borderId="8" xfId="0" applyNumberFormat="1" applyFont="1" applyFill="1" applyBorder="1">
      <alignment vertical="center"/>
    </xf>
    <xf numFmtId="177" fontId="21" fillId="9" borderId="8" xfId="0" applyNumberFormat="1" applyFont="1" applyFill="1" applyBorder="1">
      <alignment vertical="center"/>
    </xf>
    <xf numFmtId="38" fontId="21" fillId="9" borderId="8" xfId="1" applyFont="1" applyFill="1" applyBorder="1">
      <alignment vertical="center"/>
    </xf>
    <xf numFmtId="38" fontId="21" fillId="9" borderId="9" xfId="0" applyNumberFormat="1" applyFont="1" applyFill="1" applyBorder="1">
      <alignment vertical="center"/>
    </xf>
    <xf numFmtId="38" fontId="21" fillId="9" borderId="0" xfId="1" applyFont="1" applyFill="1" applyBorder="1">
      <alignment vertical="center"/>
    </xf>
    <xf numFmtId="38" fontId="21" fillId="9" borderId="20" xfId="1" applyFont="1" applyFill="1" applyBorder="1">
      <alignment vertical="center"/>
    </xf>
    <xf numFmtId="0" fontId="31" fillId="9" borderId="0" xfId="0" applyFont="1" applyFill="1">
      <alignment vertical="center"/>
    </xf>
    <xf numFmtId="38" fontId="21" fillId="9" borderId="1" xfId="0" applyNumberFormat="1" applyFont="1" applyFill="1" applyBorder="1">
      <alignment vertical="center"/>
    </xf>
    <xf numFmtId="0" fontId="0" fillId="9" borderId="1" xfId="0" applyFill="1" applyBorder="1" applyAlignment="1">
      <alignment horizontal="left" vertical="center"/>
    </xf>
    <xf numFmtId="38" fontId="4" fillId="3" borderId="1" xfId="0" applyNumberFormat="1" applyFont="1" applyFill="1" applyBorder="1">
      <alignment vertical="center"/>
    </xf>
    <xf numFmtId="38" fontId="0" fillId="3" borderId="26" xfId="1" applyFont="1" applyFill="1" applyBorder="1" applyAlignment="1">
      <alignment vertical="center"/>
    </xf>
    <xf numFmtId="0" fontId="8" fillId="7" borderId="2" xfId="0" applyFont="1" applyFill="1" applyBorder="1" applyAlignment="1">
      <alignment horizontal="center" vertical="center"/>
    </xf>
    <xf numFmtId="0" fontId="22" fillId="0" borderId="0" xfId="0" applyFont="1" applyAlignment="1">
      <alignment vertical="center" wrapText="1"/>
    </xf>
    <xf numFmtId="0" fontId="21" fillId="0" borderId="0" xfId="0" applyFont="1">
      <alignment vertical="center"/>
    </xf>
    <xf numFmtId="0" fontId="0" fillId="0" borderId="0" xfId="0" applyAlignment="1">
      <alignment horizontal="left" vertical="center"/>
    </xf>
    <xf numFmtId="38" fontId="11" fillId="0" borderId="0" xfId="0" applyNumberFormat="1" applyFont="1">
      <alignment vertical="center"/>
    </xf>
    <xf numFmtId="0" fontId="32" fillId="9" borderId="0" xfId="0" applyFont="1" applyFill="1" applyAlignment="1">
      <alignment horizontal="center" vertical="center"/>
    </xf>
    <xf numFmtId="0" fontId="9" fillId="10" borderId="33" xfId="0" applyFont="1" applyFill="1" applyBorder="1" applyAlignment="1">
      <alignment horizontal="center" vertical="center"/>
    </xf>
    <xf numFmtId="0" fontId="12" fillId="9" borderId="33" xfId="0" applyFont="1" applyFill="1" applyBorder="1" applyAlignment="1">
      <alignment horizontal="center" vertical="center"/>
    </xf>
    <xf numFmtId="0" fontId="12" fillId="10" borderId="33" xfId="0" applyFont="1" applyFill="1" applyBorder="1" applyAlignment="1">
      <alignment horizontal="center" vertical="center"/>
    </xf>
    <xf numFmtId="38" fontId="0" fillId="6" borderId="1" xfId="1" applyFont="1" applyFill="1" applyBorder="1">
      <alignment vertical="center"/>
    </xf>
    <xf numFmtId="38" fontId="0" fillId="4" borderId="1" xfId="1" applyFont="1" applyFill="1" applyBorder="1">
      <alignment vertical="center"/>
    </xf>
    <xf numFmtId="177" fontId="25" fillId="5" borderId="0" xfId="0" applyNumberFormat="1" applyFont="1" applyFill="1">
      <alignment vertical="center"/>
    </xf>
    <xf numFmtId="177" fontId="23" fillId="5" borderId="0" xfId="0" applyNumberFormat="1" applyFont="1" applyFill="1">
      <alignment vertical="center"/>
    </xf>
    <xf numFmtId="177" fontId="25" fillId="4" borderId="0" xfId="0" applyNumberFormat="1" applyFont="1" applyFill="1">
      <alignment vertical="center"/>
    </xf>
    <xf numFmtId="177" fontId="0" fillId="4" borderId="0" xfId="0" applyNumberFormat="1" applyFill="1">
      <alignment vertical="center"/>
    </xf>
    <xf numFmtId="177" fontId="24" fillId="6" borderId="0" xfId="0" applyNumberFormat="1" applyFont="1" applyFill="1">
      <alignment vertical="center"/>
    </xf>
    <xf numFmtId="177" fontId="0" fillId="6" borderId="0" xfId="0" applyNumberFormat="1" applyFill="1">
      <alignment vertical="center"/>
    </xf>
    <xf numFmtId="0" fontId="20" fillId="8" borderId="0" xfId="0" quotePrefix="1" applyFont="1" applyFill="1" applyAlignment="1">
      <alignment horizontal="centerContinuous" vertical="center"/>
    </xf>
    <xf numFmtId="38" fontId="10" fillId="0" borderId="31" xfId="1" applyFont="1" applyBorder="1" applyAlignment="1">
      <alignment horizontal="center" vertical="center"/>
    </xf>
    <xf numFmtId="0" fontId="9" fillId="0" borderId="0" xfId="0" applyFont="1" applyAlignment="1">
      <alignment horizontal="left" vertical="center"/>
    </xf>
    <xf numFmtId="0" fontId="12" fillId="0" borderId="0" xfId="0" applyFont="1" applyAlignment="1">
      <alignment horizontal="left" vertical="center"/>
    </xf>
    <xf numFmtId="0" fontId="8" fillId="0" borderId="0" xfId="0" applyFont="1">
      <alignment vertical="center"/>
    </xf>
    <xf numFmtId="0" fontId="18" fillId="0" borderId="0" xfId="0" applyFont="1">
      <alignment vertical="center"/>
    </xf>
    <xf numFmtId="0" fontId="34" fillId="0" borderId="1" xfId="0" applyFont="1" applyBorder="1" applyAlignment="1">
      <alignment horizontal="center" vertical="center"/>
    </xf>
    <xf numFmtId="0" fontId="35" fillId="0" borderId="1" xfId="0" applyFont="1" applyBorder="1" applyAlignment="1">
      <alignment horizontal="center" vertical="center"/>
    </xf>
    <xf numFmtId="0" fontId="13" fillId="15" borderId="0" xfId="0" applyFont="1" applyFill="1" applyAlignment="1">
      <alignment horizontal="center" vertical="center"/>
    </xf>
    <xf numFmtId="0" fontId="36" fillId="0" borderId="0" xfId="0" applyFont="1" applyAlignment="1">
      <alignment horizontal="right" vertical="center"/>
    </xf>
    <xf numFmtId="0" fontId="8" fillId="15" borderId="0" xfId="0" applyFont="1" applyFill="1" applyAlignment="1">
      <alignment horizontal="center" vertical="center" wrapText="1"/>
    </xf>
    <xf numFmtId="38" fontId="39" fillId="0" borderId="31" xfId="1" applyFont="1" applyBorder="1" applyAlignment="1">
      <alignment horizontal="center" vertical="center"/>
    </xf>
    <xf numFmtId="38" fontId="0" fillId="5" borderId="10" xfId="0" applyNumberFormat="1" applyFill="1" applyBorder="1">
      <alignment vertical="center"/>
    </xf>
    <xf numFmtId="0" fontId="8" fillId="7" borderId="5" xfId="0" applyFont="1" applyFill="1" applyBorder="1">
      <alignment vertical="center"/>
    </xf>
    <xf numFmtId="38" fontId="0" fillId="5" borderId="5" xfId="1" applyFont="1" applyFill="1" applyBorder="1">
      <alignment vertical="center"/>
    </xf>
    <xf numFmtId="38" fontId="21" fillId="0" borderId="0" xfId="0" applyNumberFormat="1" applyFont="1">
      <alignment vertical="center"/>
    </xf>
    <xf numFmtId="0" fontId="0" fillId="0" borderId="34" xfId="0" applyBorder="1" applyAlignment="1">
      <alignment horizontal="left" vertical="center"/>
    </xf>
    <xf numFmtId="0" fontId="0" fillId="0" borderId="34" xfId="0" applyBorder="1">
      <alignment vertical="center"/>
    </xf>
    <xf numFmtId="0" fontId="37" fillId="16" borderId="21" xfId="0" applyFont="1" applyFill="1" applyBorder="1" applyAlignment="1">
      <alignment horizontal="center" vertical="center"/>
    </xf>
    <xf numFmtId="0" fontId="13" fillId="16" borderId="6" xfId="0" applyFont="1" applyFill="1" applyBorder="1" applyAlignment="1">
      <alignment horizontal="left" vertical="center"/>
    </xf>
    <xf numFmtId="0" fontId="33" fillId="16" borderId="35" xfId="0" applyFont="1" applyFill="1" applyBorder="1" applyAlignment="1">
      <alignment horizontal="center" vertical="center"/>
    </xf>
    <xf numFmtId="0" fontId="33" fillId="16" borderId="36" xfId="0" applyFont="1" applyFill="1" applyBorder="1" applyAlignment="1">
      <alignment horizontal="center" vertical="center" wrapText="1"/>
    </xf>
    <xf numFmtId="0" fontId="8" fillId="0" borderId="39" xfId="0" applyFont="1" applyBorder="1" applyAlignment="1">
      <alignment horizontal="center" vertical="center"/>
    </xf>
    <xf numFmtId="0" fontId="8" fillId="0" borderId="4" xfId="0" applyFont="1" applyBorder="1" applyAlignment="1">
      <alignment horizontal="center" vertical="center"/>
    </xf>
    <xf numFmtId="0" fontId="41" fillId="0" borderId="13" xfId="0" applyFont="1" applyBorder="1" applyAlignment="1">
      <alignment horizontal="center" vertical="center"/>
    </xf>
    <xf numFmtId="0" fontId="40" fillId="0" borderId="13" xfId="0" applyFont="1" applyBorder="1" applyAlignment="1">
      <alignment horizontal="center" vertical="center"/>
    </xf>
    <xf numFmtId="0" fontId="0" fillId="0" borderId="13" xfId="0" applyBorder="1" applyAlignment="1">
      <alignment horizontal="center" vertical="center"/>
    </xf>
    <xf numFmtId="38" fontId="43" fillId="11" borderId="0" xfId="0" applyNumberFormat="1" applyFont="1" applyFill="1">
      <alignment vertical="center"/>
    </xf>
    <xf numFmtId="38" fontId="40" fillId="12" borderId="0" xfId="0" applyNumberFormat="1" applyFont="1" applyFill="1">
      <alignment vertical="center"/>
    </xf>
    <xf numFmtId="176" fontId="40" fillId="12" borderId="14" xfId="0" applyNumberFormat="1" applyFont="1" applyFill="1" applyBorder="1">
      <alignment vertical="center"/>
    </xf>
    <xf numFmtId="38" fontId="42" fillId="13" borderId="11" xfId="1" applyFont="1" applyFill="1" applyBorder="1" applyAlignment="1">
      <alignment horizontal="center" vertical="center"/>
    </xf>
    <xf numFmtId="38" fontId="42" fillId="13" borderId="0" xfId="0" applyNumberFormat="1" applyFont="1" applyFill="1">
      <alignment vertical="center"/>
    </xf>
    <xf numFmtId="0" fontId="0" fillId="0" borderId="24" xfId="0" applyBorder="1">
      <alignment vertical="center"/>
    </xf>
    <xf numFmtId="38" fontId="0" fillId="0" borderId="40" xfId="1" applyFont="1" applyBorder="1">
      <alignment vertical="center"/>
    </xf>
    <xf numFmtId="0" fontId="0" fillId="0" borderId="40" xfId="0" applyBorder="1">
      <alignment vertical="center"/>
    </xf>
    <xf numFmtId="9" fontId="0" fillId="0" borderId="40" xfId="0" applyNumberFormat="1" applyBorder="1">
      <alignment vertical="center"/>
    </xf>
    <xf numFmtId="0" fontId="0" fillId="0" borderId="25" xfId="0" applyBorder="1">
      <alignment vertical="center"/>
    </xf>
    <xf numFmtId="38" fontId="0" fillId="0" borderId="0" xfId="1" applyFont="1" applyBorder="1">
      <alignment vertical="center"/>
    </xf>
    <xf numFmtId="9" fontId="0" fillId="0" borderId="0" xfId="0" applyNumberFormat="1">
      <alignment vertical="center"/>
    </xf>
    <xf numFmtId="0" fontId="0" fillId="0" borderId="26" xfId="0" applyBorder="1">
      <alignment vertical="center"/>
    </xf>
    <xf numFmtId="38" fontId="0" fillId="0" borderId="7" xfId="1" applyFont="1" applyBorder="1">
      <alignment vertical="center"/>
    </xf>
    <xf numFmtId="9" fontId="0" fillId="0" borderId="7" xfId="0" applyNumberFormat="1" applyBorder="1">
      <alignment vertical="center"/>
    </xf>
    <xf numFmtId="0" fontId="0" fillId="0" borderId="27" xfId="0" applyBorder="1">
      <alignment vertical="center"/>
    </xf>
    <xf numFmtId="0" fontId="0" fillId="0" borderId="32" xfId="0" applyBorder="1">
      <alignment vertical="center"/>
    </xf>
    <xf numFmtId="38" fontId="0" fillId="0" borderId="41" xfId="1" applyFont="1" applyBorder="1">
      <alignment vertical="center"/>
    </xf>
    <xf numFmtId="0" fontId="0" fillId="0" borderId="41" xfId="0" applyBorder="1">
      <alignment vertical="center"/>
    </xf>
    <xf numFmtId="9" fontId="0" fillId="0" borderId="41" xfId="0" applyNumberFormat="1" applyBorder="1">
      <alignment vertical="center"/>
    </xf>
    <xf numFmtId="0" fontId="0" fillId="0" borderId="5" xfId="0" applyBorder="1">
      <alignment vertical="center"/>
    </xf>
    <xf numFmtId="0" fontId="22" fillId="9" borderId="0" xfId="0" applyFont="1" applyFill="1">
      <alignment vertical="center"/>
    </xf>
    <xf numFmtId="0" fontId="12" fillId="9" borderId="42" xfId="0" applyFont="1" applyFill="1" applyBorder="1" applyAlignment="1">
      <alignment horizontal="center" vertical="center"/>
    </xf>
    <xf numFmtId="0" fontId="14" fillId="9" borderId="43" xfId="0" applyFont="1" applyFill="1" applyBorder="1">
      <alignment vertical="center"/>
    </xf>
    <xf numFmtId="0" fontId="0" fillId="9" borderId="43" xfId="0" applyFill="1" applyBorder="1">
      <alignment vertical="center"/>
    </xf>
    <xf numFmtId="38" fontId="0" fillId="9" borderId="43" xfId="1" applyFont="1" applyFill="1" applyBorder="1">
      <alignment vertical="center"/>
    </xf>
    <xf numFmtId="0" fontId="9" fillId="10" borderId="44" xfId="0" applyFont="1" applyFill="1" applyBorder="1" applyAlignment="1">
      <alignment horizontal="center" vertical="center"/>
    </xf>
    <xf numFmtId="0" fontId="0" fillId="9" borderId="45" xfId="0" applyFill="1" applyBorder="1">
      <alignment vertical="center"/>
    </xf>
    <xf numFmtId="38" fontId="0" fillId="0" borderId="46" xfId="1" applyFont="1" applyFill="1" applyBorder="1">
      <alignment vertical="center"/>
    </xf>
    <xf numFmtId="38" fontId="0" fillId="0" borderId="47" xfId="1" applyFont="1" applyFill="1" applyBorder="1">
      <alignment vertical="center"/>
    </xf>
    <xf numFmtId="38" fontId="0" fillId="0" borderId="48" xfId="1" applyFont="1" applyFill="1" applyBorder="1">
      <alignment vertical="center"/>
    </xf>
    <xf numFmtId="0" fontId="9" fillId="10" borderId="50" xfId="0" quotePrefix="1" applyFont="1" applyFill="1" applyBorder="1" applyAlignment="1">
      <alignment horizontal="center" vertical="center"/>
    </xf>
    <xf numFmtId="0" fontId="4" fillId="8" borderId="52" xfId="0" applyFont="1" applyFill="1" applyBorder="1" applyAlignment="1">
      <alignment horizontal="centerContinuous" vertical="center"/>
    </xf>
    <xf numFmtId="0" fontId="0" fillId="9" borderId="52" xfId="0" applyFill="1" applyBorder="1">
      <alignment vertical="center"/>
    </xf>
    <xf numFmtId="0" fontId="4" fillId="8" borderId="14" xfId="0" applyFont="1" applyFill="1" applyBorder="1" applyAlignment="1">
      <alignment horizontal="center" vertical="center"/>
    </xf>
    <xf numFmtId="0" fontId="4" fillId="8" borderId="54" xfId="0" applyFont="1" applyFill="1" applyBorder="1" applyAlignment="1">
      <alignment horizontal="center" vertical="center"/>
    </xf>
    <xf numFmtId="0" fontId="0" fillId="9" borderId="53" xfId="0" applyFill="1" applyBorder="1">
      <alignment vertical="center"/>
    </xf>
    <xf numFmtId="38" fontId="2" fillId="0" borderId="1" xfId="1" applyFont="1" applyFill="1" applyBorder="1">
      <alignment vertical="center"/>
    </xf>
    <xf numFmtId="38" fontId="0" fillId="9" borderId="0" xfId="0" applyNumberFormat="1" applyFill="1">
      <alignment vertical="center"/>
    </xf>
    <xf numFmtId="0" fontId="0" fillId="0" borderId="1" xfId="0" applyBorder="1" applyAlignment="1">
      <alignment horizontal="center" vertical="center"/>
    </xf>
    <xf numFmtId="0" fontId="4" fillId="0" borderId="1" xfId="0" applyFont="1" applyBorder="1" applyAlignment="1">
      <alignment horizontal="center" vertical="center"/>
    </xf>
    <xf numFmtId="0" fontId="2" fillId="0" borderId="0" xfId="0" applyFont="1">
      <alignment vertical="center"/>
    </xf>
    <xf numFmtId="0" fontId="21" fillId="4" borderId="0" xfId="0" quotePrefix="1" applyFont="1" applyFill="1">
      <alignment vertical="center"/>
    </xf>
    <xf numFmtId="0" fontId="22" fillId="0" borderId="0" xfId="0" applyFont="1">
      <alignment vertical="center"/>
    </xf>
    <xf numFmtId="0" fontId="48" fillId="2" borderId="29" xfId="0" applyFont="1" applyFill="1" applyBorder="1">
      <alignment vertical="center"/>
    </xf>
    <xf numFmtId="0" fontId="48" fillId="2" borderId="30" xfId="0" applyFont="1" applyFill="1" applyBorder="1">
      <alignment vertical="center"/>
    </xf>
    <xf numFmtId="0" fontId="22" fillId="4" borderId="0" xfId="0" applyFont="1" applyFill="1">
      <alignment vertical="center"/>
    </xf>
    <xf numFmtId="0" fontId="22" fillId="4" borderId="12" xfId="0" quotePrefix="1" applyFont="1" applyFill="1" applyBorder="1">
      <alignment vertical="center"/>
    </xf>
    <xf numFmtId="0" fontId="22" fillId="4" borderId="28" xfId="0" quotePrefix="1" applyFont="1" applyFill="1" applyBorder="1" applyAlignment="1">
      <alignment horizontal="center" vertical="center"/>
    </xf>
    <xf numFmtId="0" fontId="22" fillId="4" borderId="0" xfId="0" quotePrefix="1" applyFont="1" applyFill="1" applyAlignment="1">
      <alignment horizontal="center" vertical="center"/>
    </xf>
    <xf numFmtId="0" fontId="22" fillId="0" borderId="12" xfId="0" applyFont="1" applyBorder="1">
      <alignment vertical="center"/>
    </xf>
    <xf numFmtId="0" fontId="22" fillId="0" borderId="28" xfId="0" applyFont="1" applyBorder="1">
      <alignment vertical="center"/>
    </xf>
    <xf numFmtId="0" fontId="22" fillId="4" borderId="28" xfId="0" applyFont="1" applyFill="1" applyBorder="1">
      <alignment vertical="center"/>
    </xf>
    <xf numFmtId="0" fontId="22" fillId="0" borderId="11" xfId="0" applyFont="1" applyBorder="1">
      <alignment vertical="center"/>
    </xf>
    <xf numFmtId="0" fontId="29" fillId="4" borderId="55" xfId="0" applyFont="1" applyFill="1" applyBorder="1" applyAlignment="1">
      <alignment horizontal="center" vertical="center" wrapText="1"/>
    </xf>
    <xf numFmtId="0" fontId="6" fillId="2" borderId="12" xfId="0" applyFont="1" applyFill="1" applyBorder="1">
      <alignment vertical="center"/>
    </xf>
    <xf numFmtId="0" fontId="21" fillId="4" borderId="12" xfId="0" quotePrefix="1" applyFont="1" applyFill="1" applyBorder="1">
      <alignment vertical="center"/>
    </xf>
    <xf numFmtId="0" fontId="22" fillId="4" borderId="12" xfId="0" applyFont="1" applyFill="1" applyBorder="1">
      <alignment vertical="center"/>
    </xf>
    <xf numFmtId="0" fontId="2" fillId="2" borderId="12" xfId="0" applyFont="1" applyFill="1" applyBorder="1">
      <alignment vertical="center"/>
    </xf>
    <xf numFmtId="38" fontId="43" fillId="11" borderId="0" xfId="1" applyFont="1" applyFill="1" applyBorder="1" applyAlignment="1">
      <alignment horizontal="center" vertical="center"/>
    </xf>
    <xf numFmtId="38" fontId="40" fillId="12" borderId="0" xfId="1" applyFont="1" applyFill="1" applyBorder="1" applyAlignment="1">
      <alignment horizontal="center" vertical="center"/>
    </xf>
    <xf numFmtId="0" fontId="0" fillId="0" borderId="14" xfId="0" applyBorder="1">
      <alignment vertical="center"/>
    </xf>
    <xf numFmtId="176" fontId="43" fillId="11" borderId="12" xfId="0" applyNumberFormat="1" applyFont="1" applyFill="1" applyBorder="1">
      <alignment vertical="center"/>
    </xf>
    <xf numFmtId="176" fontId="42" fillId="13" borderId="12" xfId="0" applyNumberFormat="1" applyFont="1" applyFill="1" applyBorder="1">
      <alignment vertical="center"/>
    </xf>
    <xf numFmtId="38" fontId="0" fillId="0" borderId="1" xfId="1" applyFont="1" applyFill="1" applyBorder="1">
      <alignment vertical="center"/>
    </xf>
    <xf numFmtId="0" fontId="21" fillId="0" borderId="0" xfId="0" applyFont="1" applyAlignment="1">
      <alignment horizontal="center" vertical="center" wrapText="1"/>
    </xf>
    <xf numFmtId="0" fontId="19" fillId="6" borderId="8" xfId="0" applyFont="1" applyFill="1" applyBorder="1" applyAlignment="1">
      <alignment horizontal="center" vertical="center"/>
    </xf>
    <xf numFmtId="0" fontId="0" fillId="6" borderId="8" xfId="0" applyFill="1" applyBorder="1" applyAlignment="1">
      <alignment horizontal="center" vertical="center"/>
    </xf>
    <xf numFmtId="38" fontId="11" fillId="0" borderId="22" xfId="0" applyNumberFormat="1" applyFont="1" applyBorder="1" applyAlignment="1">
      <alignment horizontal="center" vertical="center"/>
    </xf>
    <xf numFmtId="38" fontId="11" fillId="0" borderId="23" xfId="0" applyNumberFormat="1" applyFont="1" applyBorder="1" applyAlignment="1">
      <alignment horizontal="center" vertical="center"/>
    </xf>
    <xf numFmtId="0" fontId="0" fillId="6" borderId="38" xfId="0" applyFill="1" applyBorder="1" applyAlignment="1">
      <alignment horizontal="center" vertical="center"/>
    </xf>
    <xf numFmtId="0" fontId="0" fillId="6" borderId="28" xfId="0" applyFill="1" applyBorder="1" applyAlignment="1">
      <alignment horizontal="center" vertical="center"/>
    </xf>
    <xf numFmtId="0" fontId="0" fillId="6" borderId="15" xfId="0" applyFill="1" applyBorder="1" applyAlignment="1">
      <alignment horizontal="center" vertical="center"/>
    </xf>
    <xf numFmtId="0" fontId="0" fillId="6" borderId="16" xfId="0" applyFill="1" applyBorder="1" applyAlignment="1">
      <alignment horizontal="center" vertical="center"/>
    </xf>
    <xf numFmtId="0" fontId="0" fillId="6" borderId="11" xfId="0" applyFill="1" applyBorder="1" applyAlignment="1">
      <alignment horizontal="center" vertical="center"/>
    </xf>
    <xf numFmtId="0" fontId="0" fillId="6" borderId="0" xfId="0" applyFill="1" applyAlignment="1">
      <alignment horizontal="center" vertical="center"/>
    </xf>
    <xf numFmtId="38" fontId="44" fillId="0" borderId="22" xfId="1" applyFont="1" applyFill="1" applyBorder="1" applyAlignment="1">
      <alignment horizontal="center" vertical="center"/>
    </xf>
    <xf numFmtId="38" fontId="44" fillId="0" borderId="23" xfId="1" applyFont="1" applyFill="1" applyBorder="1" applyAlignment="1">
      <alignment horizontal="center" vertical="center"/>
    </xf>
    <xf numFmtId="0" fontId="8" fillId="14" borderId="6" xfId="0" applyFont="1" applyFill="1" applyBorder="1" applyAlignment="1">
      <alignment horizontal="center" vertical="center"/>
    </xf>
    <xf numFmtId="0" fontId="8" fillId="14" borderId="21" xfId="0" applyFont="1" applyFill="1" applyBorder="1" applyAlignment="1">
      <alignment horizontal="center" vertical="center"/>
    </xf>
    <xf numFmtId="38" fontId="45" fillId="0" borderId="22" xfId="1" applyFont="1" applyFill="1" applyBorder="1" applyAlignment="1">
      <alignment horizontal="center" vertical="center"/>
    </xf>
    <xf numFmtId="38" fontId="45" fillId="0" borderId="23" xfId="1" applyFont="1" applyFill="1" applyBorder="1" applyAlignment="1">
      <alignment horizontal="center" vertical="center"/>
    </xf>
    <xf numFmtId="38" fontId="46" fillId="0" borderId="22" xfId="1" applyFont="1" applyBorder="1" applyAlignment="1">
      <alignment horizontal="center" vertical="center"/>
    </xf>
    <xf numFmtId="38" fontId="46" fillId="0" borderId="23" xfId="1" applyFont="1" applyBorder="1" applyAlignment="1">
      <alignment horizontal="center" vertical="center"/>
    </xf>
    <xf numFmtId="0" fontId="14" fillId="10" borderId="49" xfId="0" quotePrefix="1" applyFont="1" applyFill="1" applyBorder="1" applyAlignment="1">
      <alignment horizontal="center" vertical="center"/>
    </xf>
    <xf numFmtId="0" fontId="14" fillId="10" borderId="51" xfId="0" applyFont="1" applyFill="1" applyBorder="1" applyAlignment="1">
      <alignment horizontal="center" vertical="center"/>
    </xf>
    <xf numFmtId="0" fontId="41" fillId="5" borderId="10" xfId="0" applyFont="1" applyFill="1" applyBorder="1" applyAlignment="1">
      <alignment horizontal="center" vertical="center"/>
    </xf>
    <xf numFmtId="0" fontId="41" fillId="5" borderId="8" xfId="0" applyFont="1" applyFill="1" applyBorder="1" applyAlignment="1">
      <alignment horizontal="center" vertical="center"/>
    </xf>
    <xf numFmtId="0" fontId="40" fillId="4" borderId="8" xfId="0" applyFont="1" applyFill="1" applyBorder="1" applyAlignment="1">
      <alignment horizontal="center" vertical="center"/>
    </xf>
    <xf numFmtId="0" fontId="19" fillId="8" borderId="12" xfId="0" applyFont="1" applyFill="1" applyBorder="1" applyAlignment="1">
      <alignment horizontal="center" vertical="top" wrapText="1"/>
    </xf>
    <xf numFmtId="0" fontId="19" fillId="8" borderId="28" xfId="0" applyFont="1" applyFill="1" applyBorder="1" applyAlignment="1">
      <alignment horizontal="center" vertical="top" wrapText="1"/>
    </xf>
    <xf numFmtId="0" fontId="19" fillId="8" borderId="0" xfId="0" applyFont="1" applyFill="1" applyAlignment="1">
      <alignment horizontal="center" vertical="top" wrapText="1"/>
    </xf>
    <xf numFmtId="0" fontId="0" fillId="5" borderId="37" xfId="0" applyFill="1" applyBorder="1" applyAlignment="1">
      <alignment horizontal="center" vertical="center"/>
    </xf>
    <xf numFmtId="0" fontId="0" fillId="5" borderId="12" xfId="0" applyFill="1" applyBorder="1" applyAlignment="1">
      <alignment horizontal="center" vertical="center"/>
    </xf>
    <xf numFmtId="0" fontId="0" fillId="5" borderId="15" xfId="0" applyFill="1" applyBorder="1" applyAlignment="1">
      <alignment horizontal="center" vertical="center"/>
    </xf>
    <xf numFmtId="0" fontId="0" fillId="5" borderId="16" xfId="0" applyFill="1" applyBorder="1" applyAlignment="1">
      <alignment horizontal="center" vertical="center"/>
    </xf>
    <xf numFmtId="0" fontId="0" fillId="5" borderId="11" xfId="0" applyFill="1" applyBorder="1" applyAlignment="1">
      <alignment horizontal="center" vertical="center"/>
    </xf>
    <xf numFmtId="0" fontId="0" fillId="5" borderId="0" xfId="0" applyFill="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1" xfId="0" applyFill="1" applyBorder="1" applyAlignment="1">
      <alignment horizontal="center" vertical="center"/>
    </xf>
    <xf numFmtId="0" fontId="0" fillId="4" borderId="0" xfId="0" applyFill="1" applyAlignment="1">
      <alignment horizontal="center" vertical="center"/>
    </xf>
    <xf numFmtId="0" fontId="0" fillId="4" borderId="37" xfId="0" applyFill="1" applyBorder="1" applyAlignment="1">
      <alignment horizontal="center" vertical="center"/>
    </xf>
    <xf numFmtId="0" fontId="0" fillId="4" borderId="12" xfId="0" applyFill="1" applyBorder="1" applyAlignment="1">
      <alignment horizontal="center" vertical="center"/>
    </xf>
  </cellXfs>
  <cellStyles count="3">
    <cellStyle name="パーセント" xfId="2" builtinId="5"/>
    <cellStyle name="桁区切り" xfId="1" builtinId="6"/>
    <cellStyle name="標準" xfId="0" builtinId="0"/>
  </cellStyles>
  <dxfs count="2">
    <dxf>
      <font>
        <color theme="0" tint="-0.24994659260841701"/>
      </font>
      <fill>
        <patternFill>
          <bgColor theme="0" tint="-0.24994659260841701"/>
        </patternFill>
      </fill>
    </dxf>
    <dxf>
      <font>
        <color rgb="FF9C0006"/>
      </font>
      <fill>
        <patternFill>
          <bgColor rgb="FFFFC7CE"/>
        </patternFill>
      </fill>
    </dxf>
  </dxfs>
  <tableStyles count="0" defaultTableStyle="TableStyleMedium2" defaultPivotStyle="PivotStyleLight16"/>
  <colors>
    <mruColors>
      <color rgb="FFF2F2F2"/>
      <color rgb="FFFFFFFF"/>
      <color rgb="FFFFFFE1"/>
      <color rgb="FFF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35859</xdr:colOff>
      <xdr:row>37</xdr:row>
      <xdr:rowOff>53789</xdr:rowOff>
    </xdr:from>
    <xdr:to>
      <xdr:col>28</xdr:col>
      <xdr:colOff>286870</xdr:colOff>
      <xdr:row>38</xdr:row>
      <xdr:rowOff>53789</xdr:rowOff>
    </xdr:to>
    <xdr:sp macro="" textlink="">
      <xdr:nvSpPr>
        <xdr:cNvPr id="2" name="曲折矢印 1">
          <a:extLst>
            <a:ext uri="{FF2B5EF4-FFF2-40B4-BE49-F238E27FC236}">
              <a16:creationId xmlns:a16="http://schemas.microsoft.com/office/drawing/2014/main" id="{00000000-0008-0000-0000-000002000000}"/>
            </a:ext>
          </a:extLst>
        </xdr:cNvPr>
        <xdr:cNvSpPr/>
      </xdr:nvSpPr>
      <xdr:spPr>
        <a:xfrm flipH="1">
          <a:off x="14406283" y="7342095"/>
          <a:ext cx="251011" cy="233082"/>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35</xdr:col>
      <xdr:colOff>26895</xdr:colOff>
      <xdr:row>37</xdr:row>
      <xdr:rowOff>71720</xdr:rowOff>
    </xdr:from>
    <xdr:to>
      <xdr:col>35</xdr:col>
      <xdr:colOff>277906</xdr:colOff>
      <xdr:row>39</xdr:row>
      <xdr:rowOff>8967</xdr:rowOff>
    </xdr:to>
    <xdr:sp macro="" textlink="">
      <xdr:nvSpPr>
        <xdr:cNvPr id="3" name="曲折矢印 2">
          <a:extLst>
            <a:ext uri="{FF2B5EF4-FFF2-40B4-BE49-F238E27FC236}">
              <a16:creationId xmlns:a16="http://schemas.microsoft.com/office/drawing/2014/main" id="{00000000-0008-0000-0000-000003000000}"/>
            </a:ext>
          </a:extLst>
        </xdr:cNvPr>
        <xdr:cNvSpPr/>
      </xdr:nvSpPr>
      <xdr:spPr>
        <a:xfrm flipH="1">
          <a:off x="13070542" y="7978591"/>
          <a:ext cx="251011" cy="233082"/>
        </a:xfrm>
        <a:prstGeom prst="ben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42</xdr:col>
      <xdr:colOff>35860</xdr:colOff>
      <xdr:row>37</xdr:row>
      <xdr:rowOff>53790</xdr:rowOff>
    </xdr:from>
    <xdr:to>
      <xdr:col>42</xdr:col>
      <xdr:colOff>286871</xdr:colOff>
      <xdr:row>38</xdr:row>
      <xdr:rowOff>53790</xdr:rowOff>
    </xdr:to>
    <xdr:sp macro="" textlink="">
      <xdr:nvSpPr>
        <xdr:cNvPr id="4" name="曲折矢印 3">
          <a:extLst>
            <a:ext uri="{FF2B5EF4-FFF2-40B4-BE49-F238E27FC236}">
              <a16:creationId xmlns:a16="http://schemas.microsoft.com/office/drawing/2014/main" id="{00000000-0008-0000-0000-000004000000}"/>
            </a:ext>
          </a:extLst>
        </xdr:cNvPr>
        <xdr:cNvSpPr/>
      </xdr:nvSpPr>
      <xdr:spPr>
        <a:xfrm flipH="1">
          <a:off x="15670307" y="7960661"/>
          <a:ext cx="251011" cy="233082"/>
        </a:xfrm>
        <a:prstGeom prst="ben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53788</xdr:colOff>
      <xdr:row>0</xdr:row>
      <xdr:rowOff>224119</xdr:rowOff>
    </xdr:from>
    <xdr:to>
      <xdr:col>5</xdr:col>
      <xdr:colOff>493059</xdr:colOff>
      <xdr:row>5</xdr:row>
      <xdr:rowOff>98612</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3788" y="224119"/>
          <a:ext cx="1595718" cy="102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solidFill>
                <a:srgbClr val="002060"/>
              </a:solidFill>
              <a:latin typeface="游ゴシック Medium" panose="020B0500000000000000" pitchFamily="50" charset="-128"/>
              <a:ea typeface="游ゴシック Medium" panose="020B0500000000000000" pitchFamily="50" charset="-128"/>
            </a:rPr>
            <a:t>R7</a:t>
          </a:r>
          <a:r>
            <a:rPr kumimoji="1" lang="ja-JP" altLang="en-US" sz="1400" b="1">
              <a:solidFill>
                <a:srgbClr val="002060"/>
              </a:solidFill>
              <a:latin typeface="游ゴシック Medium" panose="020B0500000000000000" pitchFamily="50" charset="-128"/>
              <a:ea typeface="游ゴシック Medium" panose="020B0500000000000000" pitchFamily="50" charset="-128"/>
            </a:rPr>
            <a:t>年度波佐見町 </a:t>
          </a:r>
          <a:endParaRPr kumimoji="1" lang="en-US" altLang="ja-JP" sz="1400" b="1">
            <a:solidFill>
              <a:srgbClr val="002060"/>
            </a:solidFill>
            <a:latin typeface="游ゴシック Medium" panose="020B0500000000000000" pitchFamily="50" charset="-128"/>
            <a:ea typeface="游ゴシック Medium" panose="020B0500000000000000" pitchFamily="50" charset="-128"/>
          </a:endParaRPr>
        </a:p>
        <a:p>
          <a:pPr algn="ctr"/>
          <a:r>
            <a:rPr kumimoji="1" lang="ja-JP" altLang="en-US" sz="1400" b="1">
              <a:solidFill>
                <a:srgbClr val="002060"/>
              </a:solidFill>
              <a:latin typeface="游ゴシック Medium" panose="020B0500000000000000" pitchFamily="50" charset="-128"/>
              <a:ea typeface="游ゴシック Medium" panose="020B0500000000000000" pitchFamily="50" charset="-128"/>
            </a:rPr>
            <a:t>国保料</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未確定）</a:t>
          </a:r>
          <a:endParaRPr kumimoji="1" lang="en-US" altLang="ja-JP" sz="1100" b="1">
            <a:solidFill>
              <a:schemeClr val="dk1"/>
            </a:solidFill>
            <a:effectLst/>
            <a:latin typeface="+mn-lt"/>
            <a:ea typeface="+mn-ea"/>
            <a:cs typeface="+mn-cs"/>
          </a:endParaRPr>
        </a:p>
        <a:p>
          <a:pPr algn="ctr"/>
          <a:r>
            <a:rPr kumimoji="1" lang="ja-JP" altLang="en-US" sz="1400" b="1">
              <a:solidFill>
                <a:srgbClr val="002060"/>
              </a:solidFill>
              <a:latin typeface="游ゴシック Medium" panose="020B0500000000000000" pitchFamily="50" charset="-128"/>
              <a:ea typeface="游ゴシック Medium" panose="020B0500000000000000" pitchFamily="50" charset="-128"/>
            </a:rPr>
            <a:t>簡易試算表</a:t>
          </a:r>
          <a:endParaRPr kumimoji="1" lang="en-US" altLang="ja-JP" sz="1400" b="1">
            <a:solidFill>
              <a:srgbClr val="002060"/>
            </a:solidFill>
            <a:latin typeface="游ゴシック Medium" panose="020B0500000000000000" pitchFamily="50" charset="-128"/>
            <a:ea typeface="游ゴシック Medium" panose="020B0500000000000000" pitchFamily="50" charset="-128"/>
          </a:endParaRPr>
        </a:p>
      </xdr:txBody>
    </xdr:sp>
    <xdr:clientData/>
  </xdr:twoCellAnchor>
  <xdr:twoCellAnchor>
    <xdr:from>
      <xdr:col>0</xdr:col>
      <xdr:colOff>85164</xdr:colOff>
      <xdr:row>5</xdr:row>
      <xdr:rowOff>190054</xdr:rowOff>
    </xdr:from>
    <xdr:to>
      <xdr:col>5</xdr:col>
      <xdr:colOff>663837</xdr:colOff>
      <xdr:row>11</xdr:row>
      <xdr:rowOff>83819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85164" y="1333054"/>
          <a:ext cx="1866453" cy="1516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t>この表は、あくまでも簡易試算です。</a:t>
          </a:r>
          <a:endParaRPr kumimoji="1" lang="en-US" altLang="ja-JP" sz="1050"/>
        </a:p>
        <a:p>
          <a:pPr>
            <a:lnSpc>
              <a:spcPts val="1200"/>
            </a:lnSpc>
          </a:pPr>
          <a:r>
            <a:rPr kumimoji="1" lang="ja-JP" altLang="en-US" sz="1050"/>
            <a:t>既に国保世帯員がいる場合や年度途中の年齢到達や員の脱加入などがある場合は正しい結果が出ません。</a:t>
          </a:r>
          <a:endParaRPr kumimoji="1" lang="en-US" altLang="ja-JP" sz="1050"/>
        </a:p>
        <a:p>
          <a:pPr>
            <a:lnSpc>
              <a:spcPts val="1200"/>
            </a:lnSpc>
          </a:pPr>
          <a:r>
            <a:rPr kumimoji="1" lang="ja-JP" altLang="en-US" sz="1050"/>
            <a:t>◆正確な試算は、役場 窓口に本人確認書類をご持参のうえおたずねください。</a:t>
          </a:r>
        </a:p>
      </xdr:txBody>
    </xdr:sp>
    <xdr:clientData/>
  </xdr:twoCellAnchor>
  <xdr:twoCellAnchor>
    <xdr:from>
      <xdr:col>30</xdr:col>
      <xdr:colOff>381000</xdr:colOff>
      <xdr:row>1</xdr:row>
      <xdr:rowOff>35860</xdr:rowOff>
    </xdr:from>
    <xdr:to>
      <xdr:col>42</xdr:col>
      <xdr:colOff>228600</xdr:colOff>
      <xdr:row>9</xdr:row>
      <xdr:rowOff>82024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0591800" y="264460"/>
          <a:ext cx="4472940" cy="2210244"/>
        </a:xfrm>
        <a:prstGeom prst="rect">
          <a:avLst/>
        </a:prstGeom>
        <a:solidFill>
          <a:schemeClr val="lt1"/>
        </a:solidFill>
        <a:ln w="1905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000"/>
            </a:lnSpc>
          </a:pPr>
          <a:r>
            <a:rPr kumimoji="1" lang="en-US" altLang="ja-JP" sz="1200"/>
            <a:t>【</a:t>
          </a:r>
          <a:r>
            <a:rPr kumimoji="1" lang="ja-JP" altLang="en-US" sz="1200"/>
            <a:t>用語の説明</a:t>
          </a:r>
          <a:r>
            <a:rPr kumimoji="1" lang="en-US" altLang="ja-JP" sz="1200"/>
            <a:t>】</a:t>
          </a:r>
        </a:p>
        <a:p>
          <a:pPr>
            <a:lnSpc>
              <a:spcPts val="2000"/>
            </a:lnSpc>
          </a:pPr>
          <a:r>
            <a:rPr kumimoji="1" lang="ja-JP" altLang="en-US" sz="1200"/>
            <a:t>所得割：所得に応じて計算</a:t>
          </a:r>
          <a:endParaRPr kumimoji="1" lang="en-US" altLang="ja-JP" sz="1200"/>
        </a:p>
        <a:p>
          <a:pPr>
            <a:lnSpc>
              <a:spcPts val="2000"/>
            </a:lnSpc>
          </a:pPr>
          <a:r>
            <a:rPr kumimoji="1" lang="ja-JP" altLang="en-US" sz="1200"/>
            <a:t>均等割：加入人数に応じて計算</a:t>
          </a:r>
          <a:endParaRPr kumimoji="1" lang="en-US" altLang="ja-JP" sz="1200"/>
        </a:p>
        <a:p>
          <a:pPr>
            <a:lnSpc>
              <a:spcPts val="2000"/>
            </a:lnSpc>
          </a:pPr>
          <a:r>
            <a:rPr kumimoji="1" lang="ja-JP" altLang="en-US" sz="1200"/>
            <a:t>平等割：ひと世帯に対してかかる基本料</a:t>
          </a:r>
          <a:endParaRPr kumimoji="1" lang="en-US" altLang="ja-JP" sz="1200"/>
        </a:p>
        <a:p>
          <a:pPr>
            <a:lnSpc>
              <a:spcPts val="2000"/>
            </a:lnSpc>
          </a:pPr>
          <a:r>
            <a:rPr kumimoji="1" lang="ja-JP" altLang="en-US" sz="1200">
              <a:solidFill>
                <a:schemeClr val="accent5">
                  <a:lumMod val="75000"/>
                </a:schemeClr>
              </a:solidFill>
            </a:rPr>
            <a:t>医療分：国保加入者の医療費のために徴収する分</a:t>
          </a:r>
          <a:endParaRPr kumimoji="1" lang="en-US" altLang="ja-JP" sz="1200">
            <a:solidFill>
              <a:schemeClr val="accent5">
                <a:lumMod val="75000"/>
              </a:schemeClr>
            </a:solidFill>
          </a:endParaRPr>
        </a:p>
        <a:p>
          <a:pPr>
            <a:lnSpc>
              <a:spcPts val="2000"/>
            </a:lnSpc>
          </a:pPr>
          <a:r>
            <a:rPr kumimoji="1" lang="ja-JP" altLang="en-US" sz="1200">
              <a:solidFill>
                <a:schemeClr val="accent6">
                  <a:lumMod val="75000"/>
                </a:schemeClr>
              </a:solidFill>
            </a:rPr>
            <a:t>後期支援分：後期高齢者を支えるために徴収する分</a:t>
          </a:r>
          <a:endParaRPr kumimoji="1" lang="en-US" altLang="ja-JP" sz="1200">
            <a:solidFill>
              <a:schemeClr val="accent6">
                <a:lumMod val="75000"/>
              </a:schemeClr>
            </a:solidFill>
          </a:endParaRPr>
        </a:p>
        <a:p>
          <a:pPr>
            <a:lnSpc>
              <a:spcPts val="2000"/>
            </a:lnSpc>
          </a:pPr>
          <a:r>
            <a:rPr kumimoji="1" lang="ja-JP" altLang="en-US" sz="1200">
              <a:solidFill>
                <a:schemeClr val="accent2">
                  <a:lumMod val="75000"/>
                </a:schemeClr>
              </a:solidFill>
            </a:rPr>
            <a:t>介護支援分：介護保険を支えるために</a:t>
          </a:r>
          <a:r>
            <a:rPr kumimoji="1" lang="en-US" altLang="ja-JP" sz="1200">
              <a:solidFill>
                <a:schemeClr val="accent2">
                  <a:lumMod val="75000"/>
                </a:schemeClr>
              </a:solidFill>
            </a:rPr>
            <a:t>40</a:t>
          </a:r>
          <a:r>
            <a:rPr kumimoji="1" lang="ja-JP" altLang="en-US" sz="1200">
              <a:solidFill>
                <a:schemeClr val="accent2">
                  <a:lumMod val="75000"/>
                </a:schemeClr>
              </a:solidFill>
            </a:rPr>
            <a:t>歳以上から徴収する分</a:t>
          </a:r>
          <a:endParaRPr kumimoji="1" lang="en-US" altLang="ja-JP" sz="1200">
            <a:solidFill>
              <a:schemeClr val="accent2">
                <a:lumMod val="75000"/>
              </a:schemeClr>
            </a:solidFill>
          </a:endParaRPr>
        </a:p>
        <a:p>
          <a:pPr>
            <a:lnSpc>
              <a:spcPts val="2000"/>
            </a:lnSpc>
          </a:pPr>
          <a:r>
            <a:rPr kumimoji="1" lang="ja-JP" altLang="en-US" sz="1200">
              <a:solidFill>
                <a:schemeClr val="accent2">
                  <a:lumMod val="75000"/>
                </a:schemeClr>
              </a:solidFill>
            </a:rPr>
            <a:t>　　　　　（</a:t>
          </a:r>
          <a:r>
            <a:rPr kumimoji="1" lang="en-US" altLang="ja-JP" sz="1200">
              <a:solidFill>
                <a:schemeClr val="accent2">
                  <a:lumMod val="75000"/>
                </a:schemeClr>
              </a:solidFill>
            </a:rPr>
            <a:t>65</a:t>
          </a:r>
          <a:r>
            <a:rPr kumimoji="1" lang="ja-JP" altLang="en-US" sz="1200">
              <a:solidFill>
                <a:schemeClr val="accent2">
                  <a:lumMod val="75000"/>
                </a:schemeClr>
              </a:solidFill>
            </a:rPr>
            <a:t>歳になると介護保険から個別に徴収される）</a:t>
          </a:r>
          <a:endParaRPr kumimoji="1" lang="en-US" altLang="ja-JP" sz="1200">
            <a:solidFill>
              <a:schemeClr val="accent2">
                <a:lumMod val="75000"/>
              </a:schemeClr>
            </a:solidFill>
          </a:endParaRPr>
        </a:p>
        <a:p>
          <a:pPr>
            <a:lnSpc>
              <a:spcPts val="2000"/>
            </a:lnSpc>
          </a:pPr>
          <a:endParaRPr kumimoji="1" lang="ja-JP" altLang="en-US" sz="1200"/>
        </a:p>
      </xdr:txBody>
    </xdr:sp>
    <xdr:clientData/>
  </xdr:twoCellAnchor>
  <xdr:twoCellAnchor>
    <xdr:from>
      <xdr:col>6</xdr:col>
      <xdr:colOff>17929</xdr:colOff>
      <xdr:row>10</xdr:row>
      <xdr:rowOff>99060</xdr:rowOff>
    </xdr:from>
    <xdr:to>
      <xdr:col>7</xdr:col>
      <xdr:colOff>923364</xdr:colOff>
      <xdr:row>12</xdr:row>
      <xdr:rowOff>555812</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2075329" y="2636520"/>
          <a:ext cx="2048435" cy="913952"/>
        </a:xfrm>
        <a:prstGeom prst="wedgeRoundRectCallout">
          <a:avLst>
            <a:gd name="adj1" fmla="val 60033"/>
            <a:gd name="adj2" fmla="val -1970"/>
            <a:gd name="adj3" fmla="val 16667"/>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lnSpc>
              <a:spcPts val="1800"/>
            </a:lnSpc>
          </a:pPr>
          <a:r>
            <a:rPr kumimoji="1" lang="ja-JP" altLang="en-US" sz="1100" b="1"/>
            <a:t>令和５年源泉徴収票や、Ｒ５年１月～１２月の収入・所得を入力してください。</a:t>
          </a:r>
        </a:p>
      </xdr:txBody>
    </xdr:sp>
    <xdr:clientData/>
  </xdr:twoCellAnchor>
  <xdr:twoCellAnchor>
    <xdr:from>
      <xdr:col>22</xdr:col>
      <xdr:colOff>26892</xdr:colOff>
      <xdr:row>10</xdr:row>
      <xdr:rowOff>179292</xdr:rowOff>
    </xdr:from>
    <xdr:to>
      <xdr:col>43</xdr:col>
      <xdr:colOff>71717</xdr:colOff>
      <xdr:row>43</xdr:row>
      <xdr:rowOff>62752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7539316" y="2716304"/>
          <a:ext cx="7826189" cy="5827060"/>
        </a:xfrm>
        <a:prstGeom prst="rect">
          <a:avLst/>
        </a:prstGeom>
        <a:solidFill>
          <a:srgbClr val="F2F2F2">
            <a:alpha val="5098"/>
          </a:srgbClr>
        </a:solidFill>
        <a:ln w="38100">
          <a:solidFill>
            <a:schemeClr val="bg1">
              <a:lumMod val="9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30480</xdr:colOff>
      <xdr:row>36</xdr:row>
      <xdr:rowOff>152400</xdr:rowOff>
    </xdr:from>
    <xdr:to>
      <xdr:col>6</xdr:col>
      <xdr:colOff>1127760</xdr:colOff>
      <xdr:row>41</xdr:row>
      <xdr:rowOff>137160</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60020" y="7338060"/>
          <a:ext cx="3025140" cy="716280"/>
        </a:xfrm>
        <a:prstGeom prst="wedgeRoundRectCallout">
          <a:avLst>
            <a:gd name="adj1" fmla="val 35591"/>
            <a:gd name="adj2" fmla="val -87872"/>
            <a:gd name="adj3" fmla="val 16667"/>
          </a:avLst>
        </a:prstGeom>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lnSpc>
              <a:spcPts val="1800"/>
            </a:lnSpc>
          </a:pPr>
          <a:r>
            <a:rPr kumimoji="1" lang="ja-JP" altLang="en-US" sz="1050" b="1">
              <a:solidFill>
                <a:schemeClr val="bg1"/>
              </a:solidFill>
            </a:rPr>
            <a:t>対象者がいない欄に誤って入力したとき</a:t>
          </a:r>
          <a:r>
            <a:rPr kumimoji="1" lang="ja-JP" altLang="en-US" sz="1050" b="1"/>
            <a:t>は、</a:t>
          </a:r>
          <a:r>
            <a:rPr kumimoji="1" lang="ja-JP" altLang="en-US" sz="1050" b="1">
              <a:solidFill>
                <a:srgbClr val="FFFF00"/>
              </a:solidFill>
            </a:rPr>
            <a:t>年齢欄の内容</a:t>
          </a:r>
          <a:r>
            <a:rPr kumimoji="1" lang="ja-JP" altLang="en-US" sz="1050" b="1">
              <a:solidFill>
                <a:schemeClr val="bg1"/>
              </a:solidFill>
            </a:rPr>
            <a:t>を削除して</a:t>
          </a:r>
          <a:r>
            <a:rPr kumimoji="1" lang="ja-JP" altLang="en-US" sz="1050" b="1">
              <a:solidFill>
                <a:srgbClr val="FFFF00"/>
              </a:solidFill>
            </a:rPr>
            <a:t>空白</a:t>
          </a:r>
          <a:r>
            <a:rPr kumimoji="1" lang="ja-JP" altLang="en-US" sz="1050" b="1">
              <a:solidFill>
                <a:schemeClr val="bg1"/>
              </a:solidFill>
            </a:rPr>
            <a:t>にしてください。</a:t>
          </a:r>
        </a:p>
      </xdr:txBody>
    </xdr:sp>
    <xdr:clientData/>
  </xdr:twoCellAnchor>
  <xdr:twoCellAnchor>
    <xdr:from>
      <xdr:col>4</xdr:col>
      <xdr:colOff>205741</xdr:colOff>
      <xdr:row>13</xdr:row>
      <xdr:rowOff>251460</xdr:rowOff>
    </xdr:from>
    <xdr:to>
      <xdr:col>5</xdr:col>
      <xdr:colOff>426721</xdr:colOff>
      <xdr:row>14</xdr:row>
      <xdr:rowOff>152400</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1188721" y="3878580"/>
          <a:ext cx="525780" cy="312420"/>
        </a:xfrm>
        <a:prstGeom prst="wedgeRoundRectCallout">
          <a:avLst>
            <a:gd name="adj1" fmla="val 30905"/>
            <a:gd name="adj2" fmla="val 69359"/>
            <a:gd name="adj3" fmla="val 16667"/>
          </a:avLst>
        </a:prstGeom>
        <a:solidFill>
          <a:srgbClr val="FF0000"/>
        </a:solidFill>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lnSpc>
              <a:spcPts val="1800"/>
            </a:lnSpc>
          </a:pPr>
          <a:r>
            <a:rPr kumimoji="1" lang="ja-JP" altLang="en-US" sz="1100" b="1"/>
            <a:t>必須</a:t>
          </a:r>
        </a:p>
      </xdr:txBody>
    </xdr:sp>
    <xdr:clientData/>
  </xdr:twoCellAnchor>
  <xdr:twoCellAnchor>
    <xdr:from>
      <xdr:col>6</xdr:col>
      <xdr:colOff>236220</xdr:colOff>
      <xdr:row>4</xdr:row>
      <xdr:rowOff>38100</xdr:rowOff>
    </xdr:from>
    <xdr:to>
      <xdr:col>7</xdr:col>
      <xdr:colOff>868680</xdr:colOff>
      <xdr:row>6</xdr:row>
      <xdr:rowOff>91440</xdr:rowOff>
    </xdr:to>
    <xdr:sp macro="" textlink="">
      <xdr:nvSpPr>
        <xdr:cNvPr id="11" name="上矢印 10">
          <a:extLst>
            <a:ext uri="{FF2B5EF4-FFF2-40B4-BE49-F238E27FC236}">
              <a16:creationId xmlns:a16="http://schemas.microsoft.com/office/drawing/2014/main" id="{00000000-0008-0000-0000-00000B000000}"/>
            </a:ext>
          </a:extLst>
        </xdr:cNvPr>
        <xdr:cNvSpPr/>
      </xdr:nvSpPr>
      <xdr:spPr>
        <a:xfrm>
          <a:off x="2293620" y="1066800"/>
          <a:ext cx="1775460" cy="556260"/>
        </a:xfrm>
        <a:prstGeom prst="upArrow">
          <a:avLst>
            <a:gd name="adj1" fmla="val 58231"/>
            <a:gd name="adj2" fmla="val 5221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600" b="1"/>
            <a:t>試算結果</a:t>
          </a:r>
        </a:p>
      </xdr:txBody>
    </xdr:sp>
    <xdr:clientData/>
  </xdr:twoCellAnchor>
  <xdr:twoCellAnchor>
    <xdr:from>
      <xdr:col>5</xdr:col>
      <xdr:colOff>563433</xdr:colOff>
      <xdr:row>1</xdr:row>
      <xdr:rowOff>40789</xdr:rowOff>
    </xdr:from>
    <xdr:to>
      <xdr:col>30</xdr:col>
      <xdr:colOff>236221</xdr:colOff>
      <xdr:row>9</xdr:row>
      <xdr:rowOff>130436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851213" y="269389"/>
          <a:ext cx="8595808" cy="2253727"/>
        </a:xfrm>
        <a:prstGeom prst="rect">
          <a:avLst/>
        </a:prstGeom>
        <a:solidFill>
          <a:srgbClr val="FFFFFF">
            <a:alpha val="5098"/>
          </a:srgbClr>
        </a:solidFill>
        <a:ln w="762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Q46"/>
  <sheetViews>
    <sheetView showGridLines="0" tabSelected="1" view="pageBreakPreview" zoomScale="85" zoomScaleNormal="85" zoomScaleSheetLayoutView="85" workbookViewId="0">
      <selection activeCell="E17" sqref="E17:F17"/>
    </sheetView>
  </sheetViews>
  <sheetFormatPr defaultRowHeight="18.75" outlineLevelCol="1"/>
  <cols>
    <col min="1" max="1" width="1.75" customWidth="1"/>
    <col min="2" max="2" width="1.875" customWidth="1"/>
    <col min="3" max="3" width="2.75" customWidth="1"/>
    <col min="4" max="4" width="6.5" customWidth="1"/>
    <col min="5" max="5" width="4" customWidth="1"/>
    <col min="6" max="6" width="10.125" customWidth="1"/>
    <col min="7" max="7" width="15" customWidth="1"/>
    <col min="8" max="8" width="13.5" customWidth="1"/>
    <col min="9" max="9" width="0.875" customWidth="1"/>
    <col min="10" max="10" width="13.5" customWidth="1"/>
    <col min="11" max="12" width="13.75" customWidth="1"/>
    <col min="13" max="13" width="1.25" customWidth="1"/>
    <col min="14" max="14" width="3.625" hidden="1" customWidth="1" outlineLevel="1"/>
    <col min="15" max="15" width="10.125" hidden="1" customWidth="1" outlineLevel="1"/>
    <col min="16" max="16" width="6" hidden="1" customWidth="1" outlineLevel="1"/>
    <col min="17" max="17" width="8.875" hidden="1" customWidth="1" outlineLevel="1"/>
    <col min="18" max="18" width="9.5" hidden="1" customWidth="1" outlineLevel="1"/>
    <col min="19" max="19" width="10" hidden="1" customWidth="1" outlineLevel="1"/>
    <col min="20" max="20" width="0.625" hidden="1" customWidth="1" outlineLevel="1"/>
    <col min="21" max="21" width="9.625" hidden="1" customWidth="1" outlineLevel="1"/>
    <col min="22" max="22" width="9.75" hidden="1" customWidth="1" outlineLevel="1"/>
    <col min="23" max="23" width="1" customWidth="1" collapsed="1"/>
    <col min="24" max="24" width="10.25" customWidth="1"/>
    <col min="25" max="25" width="0.75" customWidth="1"/>
    <col min="26" max="26" width="9.375" customWidth="1"/>
    <col min="27" max="27" width="1" customWidth="1"/>
    <col min="28" max="28" width="6.75" customWidth="1"/>
    <col min="29" max="29" width="5.625" customWidth="1"/>
    <col min="30" max="30" width="0.75" customWidth="1"/>
    <col min="31" max="31" width="10" customWidth="1"/>
    <col min="32" max="32" width="0.75" customWidth="1"/>
    <col min="33" max="33" width="9.625" customWidth="1"/>
    <col min="34" max="34" width="0.875" customWidth="1"/>
    <col min="35" max="35" width="5.75" customWidth="1"/>
    <col min="36" max="36" width="5.375" customWidth="1"/>
    <col min="37" max="37" width="0.75" customWidth="1"/>
    <col min="38" max="38" width="10.75" customWidth="1"/>
    <col min="39" max="39" width="0.75" customWidth="1"/>
    <col min="40" max="40" width="9.25" customWidth="1"/>
    <col min="41" max="41" width="0.75" customWidth="1"/>
    <col min="42" max="43" width="5.75" customWidth="1"/>
    <col min="44" max="44" width="1" customWidth="1"/>
  </cols>
  <sheetData>
    <row r="2" spans="2:43" ht="12" customHeight="1" thickBot="1"/>
    <row r="3" spans="2:43" ht="20.25" thickBot="1">
      <c r="F3" s="94"/>
      <c r="G3" s="143" t="s">
        <v>96</v>
      </c>
      <c r="H3" s="142"/>
      <c r="I3" s="26"/>
      <c r="N3" s="26"/>
    </row>
    <row r="4" spans="2:43" ht="30.6" customHeight="1" thickBot="1">
      <c r="G4" s="219">
        <f>IF(E17="--選択してください--",0,AB43+AI43+AP43)</f>
        <v>0</v>
      </c>
      <c r="H4" s="220"/>
      <c r="I4" s="24"/>
      <c r="J4" s="132" t="s">
        <v>9</v>
      </c>
      <c r="K4" s="126" t="s">
        <v>88</v>
      </c>
      <c r="L4" s="135">
        <f>ROUND(G4/12,0)</f>
        <v>0</v>
      </c>
      <c r="M4" t="s">
        <v>10</v>
      </c>
      <c r="N4" s="111"/>
      <c r="X4" t="s">
        <v>92</v>
      </c>
    </row>
    <row r="5" spans="2:43" ht="9" customHeight="1" thickBot="1">
      <c r="G5" s="3"/>
      <c r="H5" s="4"/>
      <c r="I5" s="4"/>
      <c r="J5" s="133"/>
      <c r="K5" s="110"/>
      <c r="N5" s="4"/>
    </row>
    <row r="6" spans="2:43" ht="30.6" customHeight="1" thickBot="1">
      <c r="J6" s="134" t="s">
        <v>90</v>
      </c>
      <c r="K6" s="127" t="s">
        <v>86</v>
      </c>
      <c r="L6" s="125">
        <f>ROUND(G4/10,0)</f>
        <v>0</v>
      </c>
      <c r="M6" t="s">
        <v>10</v>
      </c>
      <c r="X6" t="s">
        <v>11</v>
      </c>
    </row>
    <row r="7" spans="2:43" ht="8.4499999999999993" customHeight="1" thickBot="1">
      <c r="G7" s="3"/>
      <c r="H7" s="4"/>
      <c r="I7" s="4"/>
      <c r="J7" s="133"/>
      <c r="K7" s="110"/>
      <c r="N7" s="4"/>
    </row>
    <row r="8" spans="2:43" ht="34.5" thickBot="1">
      <c r="F8" s="128"/>
      <c r="G8" s="144" t="s">
        <v>17</v>
      </c>
      <c r="H8" s="145" t="s">
        <v>89</v>
      </c>
      <c r="I8" s="16"/>
      <c r="J8" s="134" t="s">
        <v>91</v>
      </c>
      <c r="K8" s="127" t="s">
        <v>87</v>
      </c>
      <c r="L8" s="125">
        <f>ROUND(G4/6,0)</f>
        <v>0</v>
      </c>
      <c r="M8" t="s">
        <v>10</v>
      </c>
      <c r="N8" s="25"/>
      <c r="X8" t="s">
        <v>11</v>
      </c>
    </row>
    <row r="9" spans="2:43" ht="25.5">
      <c r="F9" s="129"/>
      <c r="G9" s="130">
        <f>COUNTA(G17:G35)-IF(E17="国保に入らない",1,0)</f>
        <v>0</v>
      </c>
      <c r="H9" s="131" t="str">
        <f>VLOOKUP(U38,S42:V45,3,TRUE)</f>
        <v>７割軽減</v>
      </c>
      <c r="I9" s="25"/>
    </row>
    <row r="10" spans="2:43" ht="11.45" customHeight="1"/>
    <row r="12" spans="2:43">
      <c r="B12" s="18"/>
      <c r="C12" s="18"/>
      <c r="D12" s="18"/>
      <c r="E12" s="18"/>
      <c r="F12" s="18"/>
      <c r="G12" s="18"/>
      <c r="H12" s="18"/>
      <c r="I12" s="18"/>
      <c r="J12" s="18"/>
      <c r="K12" s="18"/>
      <c r="L12" s="18"/>
      <c r="M12" s="18"/>
      <c r="N12" s="18"/>
      <c r="O12" s="18"/>
      <c r="P12" s="18"/>
      <c r="Q12" s="18"/>
      <c r="R12" s="18"/>
      <c r="S12" s="18"/>
      <c r="T12" s="18"/>
      <c r="U12" s="18"/>
      <c r="V12" s="18"/>
      <c r="X12" s="237" t="s">
        <v>13</v>
      </c>
      <c r="Y12" s="238"/>
      <c r="Z12" s="238"/>
      <c r="AA12" s="238"/>
      <c r="AB12" s="238"/>
      <c r="AC12" s="238"/>
      <c r="AD12" s="4"/>
      <c r="AE12" s="239" t="s">
        <v>12</v>
      </c>
      <c r="AF12" s="239"/>
      <c r="AG12" s="239"/>
      <c r="AH12" s="239"/>
      <c r="AI12" s="239"/>
      <c r="AJ12" s="239"/>
      <c r="AK12" s="4"/>
      <c r="AL12" s="217" t="s">
        <v>93</v>
      </c>
      <c r="AM12" s="218"/>
      <c r="AN12" s="218"/>
      <c r="AO12" s="218"/>
      <c r="AP12" s="218"/>
      <c r="AQ12" s="218"/>
    </row>
    <row r="13" spans="2:43" ht="49.9" customHeight="1">
      <c r="B13" s="18"/>
      <c r="C13" s="18"/>
      <c r="D13" s="18"/>
      <c r="E13" s="18"/>
      <c r="F13" s="18"/>
      <c r="G13" s="187"/>
      <c r="H13" s="187"/>
      <c r="I13" s="18"/>
      <c r="J13" s="240" t="s">
        <v>97</v>
      </c>
      <c r="K13" s="241" t="s">
        <v>98</v>
      </c>
      <c r="L13" s="242" t="s">
        <v>109</v>
      </c>
      <c r="M13" s="18"/>
      <c r="N13" s="18"/>
      <c r="O13" s="18"/>
      <c r="P13" s="18"/>
      <c r="Q13" s="18"/>
      <c r="R13" s="18"/>
      <c r="S13" s="18"/>
      <c r="T13" s="18"/>
      <c r="U13" s="18"/>
      <c r="V13" s="18"/>
      <c r="X13" s="243" t="s">
        <v>16</v>
      </c>
      <c r="Y13" s="148"/>
      <c r="Z13" s="245" t="s">
        <v>14</v>
      </c>
      <c r="AA13" s="246"/>
      <c r="AB13" s="246"/>
      <c r="AC13" s="246"/>
      <c r="AD13" s="4"/>
      <c r="AE13" s="253" t="s">
        <v>16</v>
      </c>
      <c r="AF13" s="149"/>
      <c r="AG13" s="249" t="s">
        <v>14</v>
      </c>
      <c r="AH13" s="250"/>
      <c r="AI13" s="250"/>
      <c r="AJ13" s="250"/>
      <c r="AK13" s="4"/>
      <c r="AL13" s="221" t="s">
        <v>16</v>
      </c>
      <c r="AM13" s="150"/>
      <c r="AN13" s="223" t="s">
        <v>14</v>
      </c>
      <c r="AO13" s="224"/>
      <c r="AP13" s="224"/>
      <c r="AQ13" s="224"/>
    </row>
    <row r="14" spans="2:43" ht="32.450000000000003" customHeight="1">
      <c r="B14" s="18"/>
      <c r="C14" s="18"/>
      <c r="D14" s="18"/>
      <c r="E14" s="18"/>
      <c r="F14" s="184"/>
      <c r="G14" s="185" t="s">
        <v>2</v>
      </c>
      <c r="H14" s="186" t="s">
        <v>85</v>
      </c>
      <c r="I14" s="18"/>
      <c r="J14" s="240"/>
      <c r="K14" s="241"/>
      <c r="L14" s="242"/>
      <c r="M14" s="18"/>
      <c r="N14" s="46" t="s">
        <v>84</v>
      </c>
      <c r="O14" s="30" t="s">
        <v>18</v>
      </c>
      <c r="P14" s="31" t="s">
        <v>30</v>
      </c>
      <c r="Q14" s="31" t="s">
        <v>32</v>
      </c>
      <c r="R14" s="31" t="s">
        <v>31</v>
      </c>
      <c r="S14" s="31" t="s">
        <v>29</v>
      </c>
      <c r="T14" s="18"/>
      <c r="U14" s="32" t="s">
        <v>19</v>
      </c>
      <c r="V14" s="33" t="s">
        <v>20</v>
      </c>
      <c r="W14" s="108"/>
      <c r="X14" s="244"/>
      <c r="Y14" s="43"/>
      <c r="Z14" s="247"/>
      <c r="AA14" s="248"/>
      <c r="AB14" s="248"/>
      <c r="AC14" s="248"/>
      <c r="AE14" s="254"/>
      <c r="AF14" s="43"/>
      <c r="AG14" s="251"/>
      <c r="AH14" s="252"/>
      <c r="AI14" s="252"/>
      <c r="AJ14" s="252"/>
      <c r="AK14" s="45"/>
      <c r="AL14" s="222"/>
      <c r="AM14" s="43"/>
      <c r="AN14" s="225"/>
      <c r="AO14" s="226"/>
      <c r="AP14" s="226"/>
      <c r="AQ14" s="226"/>
    </row>
    <row r="15" spans="2:43" ht="20.45" customHeight="1">
      <c r="B15" s="18"/>
      <c r="C15" s="18"/>
      <c r="D15" s="18"/>
      <c r="E15" s="18"/>
      <c r="F15" s="184"/>
      <c r="G15" s="124" t="s">
        <v>94</v>
      </c>
      <c r="H15" s="183"/>
      <c r="I15" s="18"/>
      <c r="J15" s="240"/>
      <c r="K15" s="241"/>
      <c r="L15" s="242"/>
      <c r="M15" s="18"/>
      <c r="N15" s="18"/>
      <c r="O15" s="46"/>
      <c r="P15" s="47"/>
      <c r="Q15" s="47"/>
      <c r="R15" s="47"/>
      <c r="S15" s="47"/>
      <c r="T15" s="18"/>
      <c r="U15" s="48"/>
      <c r="V15" s="47"/>
      <c r="W15" s="108"/>
      <c r="X15" s="213">
        <f>リスト!C3</f>
        <v>9.1999999999999998E-2</v>
      </c>
      <c r="Y15" s="36"/>
      <c r="Z15" s="210">
        <f>リスト!C4</f>
        <v>26600</v>
      </c>
      <c r="AA15" s="40"/>
      <c r="AB15" s="40"/>
      <c r="AC15" s="40"/>
      <c r="AE15" s="153">
        <f>リスト!D3</f>
        <v>2.9000000000000001E-2</v>
      </c>
      <c r="AF15" s="36"/>
      <c r="AG15" s="211">
        <f>リスト!D4</f>
        <v>9000</v>
      </c>
      <c r="AH15" s="41"/>
      <c r="AI15" s="41"/>
      <c r="AJ15" s="41"/>
      <c r="AL15" s="214">
        <f>リスト!E3</f>
        <v>2.4E-2</v>
      </c>
      <c r="AM15" s="212"/>
      <c r="AN15" s="154">
        <f>リスト!E4</f>
        <v>9600</v>
      </c>
      <c r="AO15" s="42"/>
      <c r="AP15" s="42"/>
      <c r="AQ15" s="42"/>
    </row>
    <row r="16" spans="2:43" ht="4.1500000000000004" customHeight="1" thickBot="1">
      <c r="B16" s="18"/>
      <c r="C16" s="18"/>
      <c r="D16" s="27"/>
      <c r="E16" s="174"/>
      <c r="F16" s="174"/>
      <c r="G16" s="175"/>
      <c r="H16" s="175"/>
      <c r="I16" s="175"/>
      <c r="J16" s="176"/>
      <c r="K16" s="176"/>
      <c r="L16" s="176"/>
      <c r="M16" s="18"/>
      <c r="N16" s="18"/>
      <c r="O16" s="18"/>
      <c r="P16" s="18"/>
      <c r="Q16" s="18"/>
      <c r="R16" s="18"/>
      <c r="S16" s="18"/>
      <c r="T16" s="18"/>
      <c r="U16" s="23"/>
      <c r="V16" s="18"/>
      <c r="X16" s="212"/>
      <c r="Y16" s="36"/>
      <c r="Z16" s="43"/>
      <c r="AA16" s="4"/>
      <c r="AE16" s="39"/>
      <c r="AF16" s="36"/>
      <c r="AG16" s="43"/>
      <c r="AL16" s="43"/>
      <c r="AM16" s="36"/>
      <c r="AN16" s="36"/>
    </row>
    <row r="17" spans="2:43" ht="20.25" thickTop="1" thickBot="1">
      <c r="B17" s="18"/>
      <c r="C17" s="18"/>
      <c r="D17" s="27" t="s">
        <v>0</v>
      </c>
      <c r="E17" s="235" t="s">
        <v>35</v>
      </c>
      <c r="F17" s="236"/>
      <c r="G17" s="182"/>
      <c r="H17" s="177" t="s">
        <v>35</v>
      </c>
      <c r="I17" s="178"/>
      <c r="J17" s="179"/>
      <c r="K17" s="180"/>
      <c r="L17" s="181"/>
      <c r="M17" s="18"/>
      <c r="N17" s="112" t="str">
        <f>IF(G17=リスト!$H$14,"A",IF(G17=リスト!$I$14,"B",IF(G17=リスト!$J$14,"H",IF(G17=リスト!$K$14,"D",IF(G17=リスト!$L$14,"E",IF(G17=リスト!$M$14,"F","G"))))))</f>
        <v>G</v>
      </c>
      <c r="O17" s="96">
        <f>年金所得への変更用!O3</f>
        <v>0</v>
      </c>
      <c r="P17" s="97">
        <f>IF(H17="非自発的失業",0.3,1)</f>
        <v>1</v>
      </c>
      <c r="Q17" s="98">
        <f>O17*P17</f>
        <v>0</v>
      </c>
      <c r="R17" s="98">
        <f>年金所得への変更用!I3</f>
        <v>0</v>
      </c>
      <c r="S17" s="98">
        <f>年金所得への変更用!K3</f>
        <v>0</v>
      </c>
      <c r="T17" s="48">
        <f>IF(OR(J17&gt;0,R17&gt;0),1,0)</f>
        <v>0</v>
      </c>
      <c r="U17" s="96">
        <f>Q17+L17+S17</f>
        <v>0</v>
      </c>
      <c r="V17" s="99">
        <f>MAX(0,Q17+L17+R17-リスト!$E$1)</f>
        <v>0</v>
      </c>
      <c r="W17" s="139"/>
      <c r="X17" s="136">
        <f>IF(OR(AC17=0,H17="旧被扶養者"),0,INT(V17*$X$15))</f>
        <v>0</v>
      </c>
      <c r="Y17" s="36"/>
      <c r="Z17" s="35">
        <f>+AB17*AC17</f>
        <v>7980</v>
      </c>
      <c r="AA17" s="59" t="s">
        <v>27</v>
      </c>
      <c r="AB17" s="60">
        <f>IF(N17="A",$Z$15/2,$Z$15)</f>
        <v>26600</v>
      </c>
      <c r="AC17" s="118">
        <f>IF($E$17="国保に入らない",0,IF($H$9="７割軽減",0.3,IF(H17="旧被扶養者",0.5,$U$40)))</f>
        <v>0.3</v>
      </c>
      <c r="AE17" s="95">
        <f>IF(OR(AJ17=0,H17="旧被扶養者"),0,INT(V17*$AE$15))</f>
        <v>0</v>
      </c>
      <c r="AF17" s="36"/>
      <c r="AG17" s="37">
        <f>AI17*AJ17</f>
        <v>2700</v>
      </c>
      <c r="AH17" s="64" t="s">
        <v>51</v>
      </c>
      <c r="AI17" s="65">
        <f>IF(N17="A",$AG$15/2,$AG$15)</f>
        <v>9000</v>
      </c>
      <c r="AJ17" s="120">
        <f>IF($E$17="国保に入らない",0,IF($H$9="７割軽減",0.3,IF(H17="旧被扶養者",0.5,$U$40)))</f>
        <v>0.3</v>
      </c>
      <c r="AL17" s="38">
        <f>IF(AQ17=0,0,IF(N17="D",INT(V17*$AL$15),0))</f>
        <v>0</v>
      </c>
      <c r="AM17" s="36"/>
      <c r="AN17" s="38">
        <f>AP17*AQ17</f>
        <v>0</v>
      </c>
      <c r="AO17" s="68" t="s">
        <v>51</v>
      </c>
      <c r="AP17" s="66">
        <f>$AN$15</f>
        <v>9600</v>
      </c>
      <c r="AQ17" s="122">
        <f>IF($E$17="国保に入らない",0,IF(N17="D",$U$40,0))</f>
        <v>0</v>
      </c>
    </row>
    <row r="18" spans="2:43" ht="4.1500000000000004" customHeight="1" thickTop="1">
      <c r="B18" s="18"/>
      <c r="C18" s="18"/>
      <c r="D18" s="27"/>
      <c r="E18" s="20"/>
      <c r="F18" s="20"/>
      <c r="G18" s="173"/>
      <c r="H18" s="173"/>
      <c r="I18" s="18"/>
      <c r="J18" s="53"/>
      <c r="K18" s="54"/>
      <c r="L18" s="55"/>
      <c r="M18" s="18"/>
      <c r="N18" s="112"/>
      <c r="O18" s="48">
        <f>年金所得への変更用!O4</f>
        <v>0</v>
      </c>
      <c r="P18" s="48"/>
      <c r="Q18" s="100">
        <f t="shared" ref="Q18:Q35" si="0">O18*P18</f>
        <v>0</v>
      </c>
      <c r="R18" s="101">
        <f>年金所得への変更用!I4</f>
        <v>0</v>
      </c>
      <c r="S18" s="100">
        <f>年金所得への変更用!K4</f>
        <v>0</v>
      </c>
      <c r="T18" s="48">
        <f t="shared" ref="T18:T36" si="1">IF(OR(J18&gt;0,R18&gt;0),1,0)</f>
        <v>0</v>
      </c>
      <c r="U18" s="102"/>
      <c r="V18" s="99">
        <f>MAX(0,Q18+L18+R18-リスト!$E$1)</f>
        <v>0</v>
      </c>
      <c r="W18" s="109"/>
      <c r="X18" s="39"/>
      <c r="Y18" s="36"/>
      <c r="Z18" s="36"/>
      <c r="AA18" s="61"/>
      <c r="AB18" s="62"/>
      <c r="AC18" s="63"/>
      <c r="AE18" s="39"/>
      <c r="AF18" s="36"/>
      <c r="AG18" s="36"/>
      <c r="AH18" s="63"/>
      <c r="AI18" s="62"/>
      <c r="AJ18" s="63"/>
      <c r="AL18" s="36"/>
      <c r="AM18" s="36"/>
      <c r="AN18" s="36"/>
      <c r="AO18" s="67"/>
      <c r="AP18" s="67"/>
      <c r="AQ18" s="67"/>
    </row>
    <row r="19" spans="2:43">
      <c r="B19" s="18"/>
      <c r="C19" s="18"/>
      <c r="D19" s="27" t="s">
        <v>1</v>
      </c>
      <c r="E19" s="19"/>
      <c r="F19" s="28">
        <f>IF(E17="国保加入者１",2,1)</f>
        <v>1</v>
      </c>
      <c r="G19" s="115"/>
      <c r="H19" s="113" t="s">
        <v>35</v>
      </c>
      <c r="I19" s="18"/>
      <c r="J19" s="50"/>
      <c r="K19" s="51"/>
      <c r="L19" s="52"/>
      <c r="M19" s="18"/>
      <c r="N19" s="112" t="str">
        <f>IF(G19=リスト!$H$14,"A",IF(G19=リスト!$I$14,"B",IF(G19=リスト!$J$14,"H",IF(G19=リスト!$K$14,"D",IF(G19=リスト!$L$14,"E",IF(G19=リスト!$M$14,"F","G"))))))</f>
        <v>G</v>
      </c>
      <c r="O19" s="32">
        <f>年金所得への変更用!O5</f>
        <v>0</v>
      </c>
      <c r="P19" s="97">
        <f>IF(H19="非自発的失業",0.3,1)</f>
        <v>1</v>
      </c>
      <c r="Q19" s="98">
        <f t="shared" si="0"/>
        <v>0</v>
      </c>
      <c r="R19" s="98">
        <f>年金所得への変更用!I5</f>
        <v>0</v>
      </c>
      <c r="S19" s="98">
        <f>年金所得への変更用!K5</f>
        <v>0</v>
      </c>
      <c r="T19" s="48">
        <f t="shared" si="1"/>
        <v>0</v>
      </c>
      <c r="U19" s="96">
        <f>Q19+L19+S19</f>
        <v>0</v>
      </c>
      <c r="V19" s="99">
        <f>MAX(0,Q19+L19+R19-リスト!$E$1)</f>
        <v>0</v>
      </c>
      <c r="W19" s="139"/>
      <c r="X19" s="136">
        <f>IF(OR(G19=0,H19="旧被扶養者"),0,INT(V19*$X$15))</f>
        <v>0</v>
      </c>
      <c r="Y19" s="36"/>
      <c r="Z19" s="35">
        <f>+AB19*AC19</f>
        <v>0</v>
      </c>
      <c r="AA19" s="59" t="s">
        <v>27</v>
      </c>
      <c r="AB19" s="60">
        <f>IF(N19="A",$Z$15/2,$Z$15)</f>
        <v>26600</v>
      </c>
      <c r="AC19" s="118">
        <f>IF(G19="",0,IF($H$9="７割軽減",0.3,IF(H19="旧被扶養者",0.5,$U$40)))</f>
        <v>0</v>
      </c>
      <c r="AE19" s="95">
        <f>IF(OR(G19=0,H1="旧被扶養者"),0,INT(V19*$AE$15))</f>
        <v>0</v>
      </c>
      <c r="AF19" s="36"/>
      <c r="AG19" s="37">
        <f>AI19*AJ19</f>
        <v>0</v>
      </c>
      <c r="AH19" s="64" t="s">
        <v>51</v>
      </c>
      <c r="AI19" s="65">
        <f>IF(N19="A",$AG$15/2,$AG$15)</f>
        <v>9000</v>
      </c>
      <c r="AJ19" s="120">
        <f>IF(G19=0,0,IF($H$9="７割軽減",0.3,IF(H17="旧被扶養者",0.5,$U$40)))</f>
        <v>0</v>
      </c>
      <c r="AL19" s="38">
        <f>IF(G19=0,0,IF(N19="D",INT(V19*$AL$15),0))</f>
        <v>0</v>
      </c>
      <c r="AM19" s="36"/>
      <c r="AN19" s="38">
        <f>AP19*AQ19</f>
        <v>0</v>
      </c>
      <c r="AO19" s="68" t="s">
        <v>51</v>
      </c>
      <c r="AP19" s="66">
        <f>$AN$15</f>
        <v>9600</v>
      </c>
      <c r="AQ19" s="122">
        <f>IF(N19="D",$U$40,0)</f>
        <v>0</v>
      </c>
    </row>
    <row r="20" spans="2:43" ht="4.1500000000000004" customHeight="1">
      <c r="B20" s="18"/>
      <c r="C20" s="18"/>
      <c r="D20" s="27"/>
      <c r="E20" s="20"/>
      <c r="F20" s="29"/>
      <c r="G20" s="114"/>
      <c r="H20" s="114"/>
      <c r="I20" s="18"/>
      <c r="J20" s="53"/>
      <c r="K20" s="54"/>
      <c r="L20" s="55"/>
      <c r="M20" s="18"/>
      <c r="N20" s="112"/>
      <c r="O20" s="48">
        <f>年金所得への変更用!O6</f>
        <v>0</v>
      </c>
      <c r="P20" s="48"/>
      <c r="Q20" s="100">
        <f t="shared" si="0"/>
        <v>0</v>
      </c>
      <c r="R20" s="101">
        <f>年金所得への変更用!I6</f>
        <v>0</v>
      </c>
      <c r="S20" s="100">
        <f>年金所得への変更用!K6</f>
        <v>0</v>
      </c>
      <c r="T20" s="48">
        <f t="shared" si="1"/>
        <v>0</v>
      </c>
      <c r="U20" s="102"/>
      <c r="V20" s="99">
        <f>MAX(0,Q20+L20+R20-リスト!$E$1)</f>
        <v>0</v>
      </c>
      <c r="W20" s="109"/>
      <c r="X20" s="39"/>
      <c r="Y20" s="36"/>
      <c r="Z20" s="36"/>
      <c r="AA20" s="61"/>
      <c r="AB20" s="62"/>
      <c r="AC20" s="63"/>
      <c r="AE20" s="39"/>
      <c r="AF20" s="36"/>
      <c r="AG20" s="36"/>
      <c r="AH20" s="63"/>
      <c r="AI20" s="62"/>
      <c r="AJ20" s="63"/>
      <c r="AL20" s="36"/>
      <c r="AM20" s="36"/>
      <c r="AN20" s="36"/>
      <c r="AO20" s="67"/>
      <c r="AP20" s="67"/>
      <c r="AQ20" s="67"/>
    </row>
    <row r="21" spans="2:43">
      <c r="B21" s="18"/>
      <c r="C21" s="18"/>
      <c r="D21" s="27" t="s">
        <v>1</v>
      </c>
      <c r="E21" s="19"/>
      <c r="F21" s="28">
        <f>F19+1</f>
        <v>2</v>
      </c>
      <c r="G21" s="115"/>
      <c r="H21" s="113" t="s">
        <v>35</v>
      </c>
      <c r="I21" s="18"/>
      <c r="J21" s="50"/>
      <c r="K21" s="51"/>
      <c r="L21" s="52"/>
      <c r="M21" s="18"/>
      <c r="N21" s="112" t="str">
        <f>IF(G21=リスト!$H$14,"A",IF(G21=リスト!$I$14,"B",IF(G21=リスト!$J$14,"H",IF(G21=リスト!$K$14,"D",IF(G21=リスト!$L$14,"E",IF(G21=リスト!$M$14,"F","G"))))))</f>
        <v>G</v>
      </c>
      <c r="O21" s="96">
        <f>年金所得への変更用!O7</f>
        <v>0</v>
      </c>
      <c r="P21" s="97">
        <f>IF(H21="非自発的失業",0.3,1)</f>
        <v>1</v>
      </c>
      <c r="Q21" s="98">
        <f t="shared" si="0"/>
        <v>0</v>
      </c>
      <c r="R21" s="98">
        <f>年金所得への変更用!I7</f>
        <v>0</v>
      </c>
      <c r="S21" s="98">
        <f>年金所得への変更用!K7</f>
        <v>0</v>
      </c>
      <c r="T21" s="48">
        <f t="shared" si="1"/>
        <v>0</v>
      </c>
      <c r="U21" s="96">
        <f>Q21+L21+S21</f>
        <v>0</v>
      </c>
      <c r="V21" s="99">
        <f>MAX(0,Q21+L21+R21-リスト!$E$1)</f>
        <v>0</v>
      </c>
      <c r="W21" s="139"/>
      <c r="X21" s="136">
        <f>IF(OR(G21=0,H21="旧被扶養者"),0,INT(V21*$X$15))</f>
        <v>0</v>
      </c>
      <c r="Y21" s="36"/>
      <c r="Z21" s="35">
        <f>+AB21*AC21</f>
        <v>0</v>
      </c>
      <c r="AA21" s="59" t="s">
        <v>27</v>
      </c>
      <c r="AB21" s="60">
        <f>IF(N21="A",$Z$15/2,$Z$15)</f>
        <v>26600</v>
      </c>
      <c r="AC21" s="118">
        <f>IF(G21="",0,IF($H$9="７割軽減",0.3,IF(H21="旧被扶養者",0.5,$U$40)))</f>
        <v>0</v>
      </c>
      <c r="AE21" s="95">
        <f>IF(OR(G21=0,H3="旧被扶養者"),0,INT(V21*$AE$15))</f>
        <v>0</v>
      </c>
      <c r="AF21" s="36"/>
      <c r="AG21" s="37">
        <f>AI21*AJ21</f>
        <v>0</v>
      </c>
      <c r="AH21" s="64" t="s">
        <v>51</v>
      </c>
      <c r="AI21" s="65">
        <f>IF(N21="A",$AG$15/2,$AG$15)</f>
        <v>9000</v>
      </c>
      <c r="AJ21" s="120">
        <f>IF(G21=0,0,IF($H$9="７割軽減",0.3,IF(H19="旧被扶養者",0.5,$U$40)))</f>
        <v>0</v>
      </c>
      <c r="AL21" s="38">
        <f>IF(G21=0,0,IF(N21="D",INT(V21*$AL$15),0))</f>
        <v>0</v>
      </c>
      <c r="AM21" s="36"/>
      <c r="AN21" s="38">
        <f>AP21*AQ21</f>
        <v>0</v>
      </c>
      <c r="AO21" s="68" t="s">
        <v>51</v>
      </c>
      <c r="AP21" s="66">
        <f>$AN$15</f>
        <v>9600</v>
      </c>
      <c r="AQ21" s="122">
        <f>IF(N21="D",$U$40,0)</f>
        <v>0</v>
      </c>
    </row>
    <row r="22" spans="2:43" ht="4.1500000000000004" customHeight="1">
      <c r="B22" s="18"/>
      <c r="C22" s="18"/>
      <c r="D22" s="27"/>
      <c r="E22" s="20"/>
      <c r="F22" s="29"/>
      <c r="G22" s="114"/>
      <c r="H22" s="114"/>
      <c r="I22" s="18"/>
      <c r="J22" s="53"/>
      <c r="K22" s="54"/>
      <c r="L22" s="55"/>
      <c r="M22" s="18"/>
      <c r="N22" s="112"/>
      <c r="O22" s="48">
        <f>年金所得への変更用!O8</f>
        <v>0</v>
      </c>
      <c r="P22" s="48"/>
      <c r="Q22" s="100">
        <f t="shared" si="0"/>
        <v>0</v>
      </c>
      <c r="R22" s="101">
        <f>年金所得への変更用!I8</f>
        <v>0</v>
      </c>
      <c r="S22" s="100">
        <f>年金所得への変更用!K8</f>
        <v>0</v>
      </c>
      <c r="T22" s="48">
        <f t="shared" si="1"/>
        <v>0</v>
      </c>
      <c r="U22" s="102"/>
      <c r="V22" s="99">
        <f>MAX(0,Q22+L22+R22-リスト!$E$1)</f>
        <v>0</v>
      </c>
      <c r="W22" s="109"/>
      <c r="X22" s="39"/>
      <c r="Y22" s="36"/>
      <c r="Z22" s="36"/>
      <c r="AA22" s="61"/>
      <c r="AB22" s="62"/>
      <c r="AC22" s="63"/>
      <c r="AE22" s="39"/>
      <c r="AF22" s="36"/>
      <c r="AG22" s="36"/>
      <c r="AH22" s="63"/>
      <c r="AI22" s="62"/>
      <c r="AJ22" s="63"/>
      <c r="AL22" s="36"/>
      <c r="AM22" s="36"/>
      <c r="AN22" s="36"/>
      <c r="AO22" s="67"/>
      <c r="AP22" s="67"/>
      <c r="AQ22" s="67"/>
    </row>
    <row r="23" spans="2:43">
      <c r="B23" s="18"/>
      <c r="C23" s="18"/>
      <c r="D23" s="27" t="s">
        <v>1</v>
      </c>
      <c r="E23" s="19"/>
      <c r="F23" s="28">
        <f>F21+1</f>
        <v>3</v>
      </c>
      <c r="G23" s="115"/>
      <c r="H23" s="115" t="s">
        <v>35</v>
      </c>
      <c r="I23" s="18"/>
      <c r="J23" s="50"/>
      <c r="K23" s="51"/>
      <c r="L23" s="52"/>
      <c r="M23" s="18"/>
      <c r="N23" s="112" t="str">
        <f>IF(G23=リスト!$H$14,"A",IF(G23=リスト!$I$14,"B",IF(G23=リスト!$J$14,"H",IF(G23=リスト!$K$14,"D",IF(G23=リスト!$L$14,"E",IF(G23=リスト!$M$14,"F","G"))))))</f>
        <v>G</v>
      </c>
      <c r="O23" s="98">
        <f>年金所得への変更用!O9</f>
        <v>0</v>
      </c>
      <c r="P23" s="97">
        <f>IF(H23="非自発的失業",0.3,1)</f>
        <v>1</v>
      </c>
      <c r="Q23" s="98">
        <f t="shared" si="0"/>
        <v>0</v>
      </c>
      <c r="R23" s="98">
        <f>年金所得への変更用!I9</f>
        <v>0</v>
      </c>
      <c r="S23" s="98">
        <f>年金所得への変更用!K9</f>
        <v>0</v>
      </c>
      <c r="T23" s="48">
        <f t="shared" si="1"/>
        <v>0</v>
      </c>
      <c r="U23" s="96">
        <f>Q23+L23+S23</f>
        <v>0</v>
      </c>
      <c r="V23" s="99">
        <f>MAX(0,Q23+L23+R23-リスト!$E$1)</f>
        <v>0</v>
      </c>
      <c r="W23" s="139"/>
      <c r="X23" s="136">
        <f>IF(OR(G23=0,H23="旧被扶養者"),0,INT(V23*$X$15))</f>
        <v>0</v>
      </c>
      <c r="Y23" s="36"/>
      <c r="Z23" s="35">
        <f>+AB23*AC23</f>
        <v>0</v>
      </c>
      <c r="AA23" s="59" t="s">
        <v>27</v>
      </c>
      <c r="AB23" s="60">
        <f>IF(N23="A",$Z$15/2,$Z$15)</f>
        <v>26600</v>
      </c>
      <c r="AC23" s="118">
        <f>IF(G23="",0,IF($H$9="７割軽減",0.3,IF(H23="旧被扶養者",0.5,$U$40)))</f>
        <v>0</v>
      </c>
      <c r="AE23" s="95">
        <f>IF(OR(G23=0,H5="旧被扶養者"),0,INT(V23*$AE$15))</f>
        <v>0</v>
      </c>
      <c r="AF23" s="36"/>
      <c r="AG23" s="37">
        <f>AI23*AJ23</f>
        <v>0</v>
      </c>
      <c r="AH23" s="64" t="s">
        <v>51</v>
      </c>
      <c r="AI23" s="65">
        <f>IF(N23="A",$AG$15/2,$AG$15)</f>
        <v>9000</v>
      </c>
      <c r="AJ23" s="120">
        <f>IF(G23=0,0,IF($H$9="７割軽減",0.3,IF(H21="旧被扶養者",0.5,$U$40)))</f>
        <v>0</v>
      </c>
      <c r="AL23" s="38">
        <f>IF(G23=0,0,IF(N23="D",INT(V23*$AL$15),0))</f>
        <v>0</v>
      </c>
      <c r="AM23" s="36"/>
      <c r="AN23" s="38">
        <f>AP23*AQ23</f>
        <v>0</v>
      </c>
      <c r="AO23" s="68" t="s">
        <v>51</v>
      </c>
      <c r="AP23" s="66">
        <f>$AN$15</f>
        <v>9600</v>
      </c>
      <c r="AQ23" s="122">
        <f>IF(N23="D",$U$40,0)</f>
        <v>0</v>
      </c>
    </row>
    <row r="24" spans="2:43" ht="4.1500000000000004" customHeight="1">
      <c r="B24" s="18"/>
      <c r="C24" s="18"/>
      <c r="D24" s="27"/>
      <c r="E24" s="20"/>
      <c r="F24" s="29"/>
      <c r="G24" s="114"/>
      <c r="H24" s="114"/>
      <c r="I24" s="18"/>
      <c r="J24" s="53"/>
      <c r="K24" s="54"/>
      <c r="L24" s="55"/>
      <c r="M24" s="18"/>
      <c r="N24" s="112"/>
      <c r="O24" s="100">
        <f>年金所得への変更用!O10</f>
        <v>0</v>
      </c>
      <c r="P24" s="48"/>
      <c r="Q24" s="100">
        <f t="shared" si="0"/>
        <v>0</v>
      </c>
      <c r="R24" s="101">
        <f>年金所得への変更用!I10</f>
        <v>0</v>
      </c>
      <c r="S24" s="100">
        <f>年金所得への変更用!K10</f>
        <v>0</v>
      </c>
      <c r="T24" s="48">
        <f t="shared" si="1"/>
        <v>0</v>
      </c>
      <c r="U24" s="102"/>
      <c r="V24" s="99">
        <f>MAX(0,Q24+L24+R24-リスト!$E$1)</f>
        <v>0</v>
      </c>
      <c r="W24" s="109"/>
      <c r="X24" s="39"/>
      <c r="Y24" s="36"/>
      <c r="Z24" s="36"/>
      <c r="AA24" s="61"/>
      <c r="AB24" s="62"/>
      <c r="AC24" s="63"/>
      <c r="AE24" s="39"/>
      <c r="AF24" s="36"/>
      <c r="AG24" s="36"/>
      <c r="AH24" s="63"/>
      <c r="AI24" s="62"/>
      <c r="AJ24" s="63"/>
      <c r="AL24" s="36"/>
      <c r="AM24" s="36"/>
      <c r="AN24" s="36"/>
      <c r="AO24" s="67"/>
      <c r="AP24" s="67"/>
      <c r="AQ24" s="67"/>
    </row>
    <row r="25" spans="2:43">
      <c r="B25" s="18"/>
      <c r="C25" s="18"/>
      <c r="D25" s="27" t="s">
        <v>1</v>
      </c>
      <c r="E25" s="19"/>
      <c r="F25" s="28">
        <f t="shared" ref="F25" si="2">F23+1</f>
        <v>4</v>
      </c>
      <c r="G25" s="115"/>
      <c r="H25" s="115" t="s">
        <v>35</v>
      </c>
      <c r="I25" s="18"/>
      <c r="J25" s="50"/>
      <c r="K25" s="51"/>
      <c r="L25" s="52"/>
      <c r="M25" s="18"/>
      <c r="N25" s="112" t="str">
        <f>IF(G25=リスト!$H$14,"A",IF(G25=リスト!$I$14,"B",IF(G25=リスト!$J$14,"H",IF(G25=リスト!$K$14,"D",IF(G25=リスト!$L$14,"E",IF(G25=リスト!$M$14,"F","G"))))))</f>
        <v>G</v>
      </c>
      <c r="O25" s="98">
        <f>年金所得への変更用!O11</f>
        <v>0</v>
      </c>
      <c r="P25" s="97">
        <f>IF(H25="非自発的失業",0.3,1)</f>
        <v>1</v>
      </c>
      <c r="Q25" s="98">
        <f t="shared" si="0"/>
        <v>0</v>
      </c>
      <c r="R25" s="98">
        <f>年金所得への変更用!I11</f>
        <v>0</v>
      </c>
      <c r="S25" s="98">
        <f>年金所得への変更用!K11</f>
        <v>0</v>
      </c>
      <c r="T25" s="48">
        <f t="shared" si="1"/>
        <v>0</v>
      </c>
      <c r="U25" s="96">
        <f>Q25+L25+S25</f>
        <v>0</v>
      </c>
      <c r="V25" s="99">
        <f>MAX(0,Q25+L25+R25-リスト!$E$1)</f>
        <v>0</v>
      </c>
      <c r="W25" s="139"/>
      <c r="X25" s="136">
        <f>IF(OR(G25=0,H25="旧被扶養者"),0,INT(V25*$X$15))</f>
        <v>0</v>
      </c>
      <c r="Y25" s="36"/>
      <c r="Z25" s="35">
        <f>+AB25*AC25</f>
        <v>0</v>
      </c>
      <c r="AA25" s="59" t="s">
        <v>27</v>
      </c>
      <c r="AB25" s="60">
        <f>IF(N25="A",$Z$15/2,$Z$15)</f>
        <v>26600</v>
      </c>
      <c r="AC25" s="118">
        <f>IF(G25="",0,IF($H$9="７割軽減",0.3,IF(H25="旧被扶養者",0.5,$U$40)))</f>
        <v>0</v>
      </c>
      <c r="AE25" s="95">
        <f>IF(OR(G25=0,H6="旧被扶養者"),0,INT(V25*$AE$15))</f>
        <v>0</v>
      </c>
      <c r="AF25" s="36"/>
      <c r="AG25" s="37">
        <f>AI25*AJ25</f>
        <v>0</v>
      </c>
      <c r="AH25" s="64" t="s">
        <v>51</v>
      </c>
      <c r="AI25" s="65">
        <f>IF(N25="A",$AG$15/2,$AG$15)</f>
        <v>9000</v>
      </c>
      <c r="AJ25" s="120">
        <f>IF(G25=0,0,IF($H$9="７割軽減",0.3,IF(H23="旧被扶養者",0.5,$U$40)))</f>
        <v>0</v>
      </c>
      <c r="AL25" s="38">
        <f>IF(G25=0,0,IF(N25="D",INT(V25*$AL$15),0))</f>
        <v>0</v>
      </c>
      <c r="AM25" s="36"/>
      <c r="AN25" s="38">
        <f>AP25*AQ25</f>
        <v>0</v>
      </c>
      <c r="AO25" s="68" t="s">
        <v>51</v>
      </c>
      <c r="AP25" s="66">
        <f>$AN$15</f>
        <v>9600</v>
      </c>
      <c r="AQ25" s="122">
        <f>IF(N25="D",$U$40,0)</f>
        <v>0</v>
      </c>
    </row>
    <row r="26" spans="2:43" ht="4.1500000000000004" customHeight="1">
      <c r="B26" s="18"/>
      <c r="C26" s="18"/>
      <c r="D26" s="27"/>
      <c r="E26" s="20"/>
      <c r="F26" s="29"/>
      <c r="G26" s="114"/>
      <c r="H26" s="114"/>
      <c r="I26" s="18"/>
      <c r="J26" s="53"/>
      <c r="K26" s="54"/>
      <c r="L26" s="55"/>
      <c r="M26" s="18"/>
      <c r="N26" s="112"/>
      <c r="O26" s="100">
        <f>年金所得への変更用!O12</f>
        <v>0</v>
      </c>
      <c r="P26" s="48"/>
      <c r="Q26" s="100">
        <f t="shared" si="0"/>
        <v>0</v>
      </c>
      <c r="R26" s="101">
        <f>年金所得への変更用!I12</f>
        <v>0</v>
      </c>
      <c r="S26" s="100">
        <f>年金所得への変更用!K12</f>
        <v>0</v>
      </c>
      <c r="T26" s="48">
        <f t="shared" si="1"/>
        <v>0</v>
      </c>
      <c r="U26" s="102"/>
      <c r="V26" s="99">
        <f>MAX(0,Q26+L26+R26-リスト!$E$1)</f>
        <v>0</v>
      </c>
      <c r="W26" s="109"/>
      <c r="X26" s="39"/>
      <c r="Y26" s="36"/>
      <c r="Z26" s="36"/>
      <c r="AA26" s="61"/>
      <c r="AB26" s="62"/>
      <c r="AC26" s="63"/>
      <c r="AE26" s="39"/>
      <c r="AF26" s="36"/>
      <c r="AG26" s="36"/>
      <c r="AH26" s="63"/>
      <c r="AI26" s="62"/>
      <c r="AJ26" s="63"/>
      <c r="AL26" s="36"/>
      <c r="AM26" s="36"/>
      <c r="AN26" s="36"/>
      <c r="AO26" s="67"/>
      <c r="AP26" s="67"/>
      <c r="AQ26" s="67"/>
    </row>
    <row r="27" spans="2:43">
      <c r="B27" s="18"/>
      <c r="C27" s="18"/>
      <c r="D27" s="27" t="s">
        <v>1</v>
      </c>
      <c r="E27" s="19"/>
      <c r="F27" s="28">
        <f t="shared" ref="F27" si="3">F25+1</f>
        <v>5</v>
      </c>
      <c r="G27" s="115"/>
      <c r="H27" s="115" t="s">
        <v>35</v>
      </c>
      <c r="I27" s="18"/>
      <c r="J27" s="50"/>
      <c r="K27" s="51"/>
      <c r="L27" s="52"/>
      <c r="M27" s="18"/>
      <c r="N27" s="112" t="str">
        <f>IF(G27=リスト!$H$14,"A",IF(G27=リスト!$I$14,"B",IF(G27=リスト!$J$14,"H",IF(G27=リスト!$K$14,"D",IF(G27=リスト!$L$14,"E",IF(G27=リスト!$M$14,"F","G"))))))</f>
        <v>G</v>
      </c>
      <c r="O27" s="98">
        <f>年金所得への変更用!O13</f>
        <v>0</v>
      </c>
      <c r="P27" s="97">
        <f>IF(H27="非自発的失業",0.3,1)</f>
        <v>1</v>
      </c>
      <c r="Q27" s="98">
        <f t="shared" si="0"/>
        <v>0</v>
      </c>
      <c r="R27" s="98">
        <f>年金所得への変更用!I13</f>
        <v>0</v>
      </c>
      <c r="S27" s="98">
        <f>年金所得への変更用!K13</f>
        <v>0</v>
      </c>
      <c r="T27" s="48">
        <f t="shared" si="1"/>
        <v>0</v>
      </c>
      <c r="U27" s="96">
        <f>Q27+L27+S27</f>
        <v>0</v>
      </c>
      <c r="V27" s="99">
        <f>MAX(0,Q27+L27+R27-リスト!$E$1)</f>
        <v>0</v>
      </c>
      <c r="W27" s="139"/>
      <c r="X27" s="136">
        <f>IF(OR(G27=0,H27="旧被扶養者"),0,INT(V27*$X$15))</f>
        <v>0</v>
      </c>
      <c r="Y27" s="36"/>
      <c r="Z27" s="35">
        <f>+AB27*AC27</f>
        <v>0</v>
      </c>
      <c r="AA27" s="59" t="s">
        <v>27</v>
      </c>
      <c r="AB27" s="60">
        <f>IF(N27="A",$Z$15/2,$Z$15)</f>
        <v>26600</v>
      </c>
      <c r="AC27" s="118">
        <f>IF(G27="",0,IF($H$9="７割軽減",0.3,IF(H27="旧被扶養者",0.5,$U$40)))</f>
        <v>0</v>
      </c>
      <c r="AE27" s="95">
        <f>IF(OR(G27=0,H8="旧被扶養者"),0,INT(V27*$AE$15))</f>
        <v>0</v>
      </c>
      <c r="AF27" s="36"/>
      <c r="AG27" s="37">
        <f>AI27*AJ27</f>
        <v>0</v>
      </c>
      <c r="AH27" s="64" t="s">
        <v>51</v>
      </c>
      <c r="AI27" s="65">
        <f>IF(N27="A",$AG$15/2,$AG$15)</f>
        <v>9000</v>
      </c>
      <c r="AJ27" s="120">
        <f>IF(G27=0,0,IF($H$9="７割軽減",0.3,IF(H25="旧被扶養者",0.5,$U$40)))</f>
        <v>0</v>
      </c>
      <c r="AL27" s="38">
        <f>IF(G27=0,0,IF(N27="D",INT(V27*$AL$15),0))</f>
        <v>0</v>
      </c>
      <c r="AM27" s="36"/>
      <c r="AN27" s="38">
        <f>AP27*AQ27</f>
        <v>0</v>
      </c>
      <c r="AO27" s="68" t="s">
        <v>51</v>
      </c>
      <c r="AP27" s="66">
        <f>$AN$15</f>
        <v>9600</v>
      </c>
      <c r="AQ27" s="122">
        <f>IF(N27="D",$U$40,0)</f>
        <v>0</v>
      </c>
    </row>
    <row r="28" spans="2:43" ht="4.1500000000000004" customHeight="1">
      <c r="B28" s="18"/>
      <c r="C28" s="18"/>
      <c r="D28" s="27"/>
      <c r="E28" s="20"/>
      <c r="F28" s="29"/>
      <c r="G28" s="114"/>
      <c r="H28" s="114"/>
      <c r="I28" s="18"/>
      <c r="J28" s="53"/>
      <c r="K28" s="54"/>
      <c r="L28" s="55"/>
      <c r="M28" s="18"/>
      <c r="N28" s="112"/>
      <c r="O28" s="100">
        <f>年金所得への変更用!O14</f>
        <v>0</v>
      </c>
      <c r="P28" s="48"/>
      <c r="Q28" s="100">
        <f t="shared" si="0"/>
        <v>0</v>
      </c>
      <c r="R28" s="101">
        <f>年金所得への変更用!I14</f>
        <v>0</v>
      </c>
      <c r="S28" s="100">
        <f>年金所得への変更用!K14</f>
        <v>0</v>
      </c>
      <c r="T28" s="48">
        <f t="shared" si="1"/>
        <v>0</v>
      </c>
      <c r="U28" s="102"/>
      <c r="V28" s="99">
        <f>MAX(0,Q28+L28+R28-リスト!$E$1)</f>
        <v>0</v>
      </c>
      <c r="W28" s="109"/>
      <c r="X28" s="39"/>
      <c r="Y28" s="36"/>
      <c r="Z28" s="36"/>
      <c r="AA28" s="61"/>
      <c r="AB28" s="62"/>
      <c r="AC28" s="63"/>
      <c r="AE28" s="39"/>
      <c r="AF28" s="36"/>
      <c r="AG28" s="36"/>
      <c r="AH28" s="63"/>
      <c r="AI28" s="62"/>
      <c r="AJ28" s="63"/>
      <c r="AL28" s="36"/>
      <c r="AM28" s="36"/>
      <c r="AN28" s="36"/>
      <c r="AO28" s="67"/>
      <c r="AP28" s="67"/>
      <c r="AQ28" s="67"/>
    </row>
    <row r="29" spans="2:43">
      <c r="B29" s="18"/>
      <c r="C29" s="18"/>
      <c r="D29" s="27" t="s">
        <v>1</v>
      </c>
      <c r="E29" s="19"/>
      <c r="F29" s="28">
        <f t="shared" ref="F29" si="4">F27+1</f>
        <v>6</v>
      </c>
      <c r="G29" s="115"/>
      <c r="H29" s="115" t="s">
        <v>35</v>
      </c>
      <c r="I29" s="18"/>
      <c r="J29" s="50"/>
      <c r="K29" s="51"/>
      <c r="L29" s="52"/>
      <c r="M29" s="18"/>
      <c r="N29" s="112" t="str">
        <f>IF(G29=リスト!$H$14,"A",IF(G29=リスト!$I$14,"B",IF(G29=リスト!$J$14,"H",IF(G29=リスト!$K$14,"D",IF(G29=リスト!$L$14,"E",IF(G29=リスト!$M$14,"F","G"))))))</f>
        <v>G</v>
      </c>
      <c r="O29" s="98">
        <f>年金所得への変更用!O15</f>
        <v>0</v>
      </c>
      <c r="P29" s="97">
        <f>IF(H29="非自発的失業",0.3,1)</f>
        <v>1</v>
      </c>
      <c r="Q29" s="98">
        <f t="shared" si="0"/>
        <v>0</v>
      </c>
      <c r="R29" s="98">
        <f>年金所得への変更用!I15</f>
        <v>0</v>
      </c>
      <c r="S29" s="98">
        <f>年金所得への変更用!K15</f>
        <v>0</v>
      </c>
      <c r="T29" s="48">
        <f t="shared" si="1"/>
        <v>0</v>
      </c>
      <c r="U29" s="96">
        <f>Q29+L29+S29</f>
        <v>0</v>
      </c>
      <c r="V29" s="99">
        <f>MAX(0,Q29+L29+R29-リスト!$E$1)</f>
        <v>0</v>
      </c>
      <c r="W29" s="139"/>
      <c r="X29" s="136">
        <f>IF(OR(G29=0,H29="旧被扶養者"),0,INT(V29*$X$15))</f>
        <v>0</v>
      </c>
      <c r="Y29" s="36"/>
      <c r="Z29" s="35">
        <f>+AB29*AC29</f>
        <v>0</v>
      </c>
      <c r="AA29" s="59" t="s">
        <v>27</v>
      </c>
      <c r="AB29" s="60">
        <f>IF(N29="A",$Z$15/2,$Z$15)</f>
        <v>26600</v>
      </c>
      <c r="AC29" s="118">
        <f>IF(G29="",0,IF($H$9="７割軽減",0.3,IF(H29="旧被扶養者",0.5,$U$40)))</f>
        <v>0</v>
      </c>
      <c r="AE29" s="95">
        <f>IF(OR(G29=0,H10="旧被扶養者"),0,INT(V29*$AE$15))</f>
        <v>0</v>
      </c>
      <c r="AF29" s="36"/>
      <c r="AG29" s="37">
        <f>AI29*AJ29</f>
        <v>0</v>
      </c>
      <c r="AH29" s="64" t="s">
        <v>51</v>
      </c>
      <c r="AI29" s="65">
        <f>IF(N29="A",$AG$15/2,$AG$15)</f>
        <v>9000</v>
      </c>
      <c r="AJ29" s="120">
        <f>IF(G29=0,0,IF($H$9="７割軽減",0.3,IF(H27="旧被扶養者",0.5,$U$40)))</f>
        <v>0</v>
      </c>
      <c r="AL29" s="38">
        <f>IF(G29=0,0,IF(N29="D",INT(V29*$AL$15),0))</f>
        <v>0</v>
      </c>
      <c r="AM29" s="36"/>
      <c r="AN29" s="38">
        <f>AP29*AQ29</f>
        <v>0</v>
      </c>
      <c r="AO29" s="68" t="s">
        <v>51</v>
      </c>
      <c r="AP29" s="66">
        <f>$AN$15</f>
        <v>9600</v>
      </c>
      <c r="AQ29" s="122">
        <f>IF(N29="D",$U$40,0)</f>
        <v>0</v>
      </c>
    </row>
    <row r="30" spans="2:43" ht="4.1500000000000004" customHeight="1">
      <c r="B30" s="18"/>
      <c r="C30" s="18"/>
      <c r="D30" s="27"/>
      <c r="E30" s="20"/>
      <c r="F30" s="29"/>
      <c r="G30" s="114"/>
      <c r="H30" s="114"/>
      <c r="I30" s="18"/>
      <c r="J30" s="53"/>
      <c r="K30" s="54"/>
      <c r="L30" s="55"/>
      <c r="M30" s="18"/>
      <c r="N30" s="112"/>
      <c r="O30" s="100">
        <f>年金所得への変更用!O16</f>
        <v>0</v>
      </c>
      <c r="P30" s="48"/>
      <c r="Q30" s="100">
        <f t="shared" si="0"/>
        <v>0</v>
      </c>
      <c r="R30" s="101">
        <f>年金所得への変更用!I16</f>
        <v>0</v>
      </c>
      <c r="S30" s="100">
        <f>年金所得への変更用!K16</f>
        <v>0</v>
      </c>
      <c r="T30" s="48">
        <f t="shared" si="1"/>
        <v>0</v>
      </c>
      <c r="U30" s="102"/>
      <c r="V30" s="99">
        <f>MAX(0,Q30+L30+R30-リスト!$E$1)</f>
        <v>0</v>
      </c>
      <c r="W30" s="109"/>
      <c r="X30" s="39"/>
      <c r="Y30" s="36"/>
      <c r="Z30" s="36"/>
      <c r="AA30" s="61"/>
      <c r="AB30" s="62"/>
      <c r="AC30" s="63"/>
      <c r="AE30" s="39"/>
      <c r="AF30" s="36"/>
      <c r="AG30" s="36"/>
      <c r="AH30" s="63"/>
      <c r="AI30" s="62"/>
      <c r="AJ30" s="63"/>
      <c r="AL30" s="36"/>
      <c r="AM30" s="36"/>
      <c r="AN30" s="36"/>
      <c r="AO30" s="67"/>
      <c r="AP30" s="67"/>
      <c r="AQ30" s="67"/>
    </row>
    <row r="31" spans="2:43">
      <c r="B31" s="18"/>
      <c r="C31" s="18"/>
      <c r="D31" s="27" t="s">
        <v>1</v>
      </c>
      <c r="E31" s="19"/>
      <c r="F31" s="28">
        <f t="shared" ref="F31" si="5">F29+1</f>
        <v>7</v>
      </c>
      <c r="G31" s="115"/>
      <c r="H31" s="115" t="s">
        <v>35</v>
      </c>
      <c r="I31" s="18"/>
      <c r="J31" s="50"/>
      <c r="K31" s="51"/>
      <c r="L31" s="52"/>
      <c r="M31" s="18"/>
      <c r="N31" s="112" t="str">
        <f>IF(G31=リスト!$H$14,"A",IF(G31=リスト!$I$14,"B",IF(G31=リスト!$J$14,"H",IF(G31=リスト!$K$14,"D",IF(G31=リスト!$L$14,"E",IF(G31=リスト!$M$14,"F","G"))))))</f>
        <v>G</v>
      </c>
      <c r="O31" s="98">
        <f>年金所得への変更用!O17</f>
        <v>0</v>
      </c>
      <c r="P31" s="97">
        <f>IF(H31="非自発的失業",0.3,1)</f>
        <v>1</v>
      </c>
      <c r="Q31" s="98">
        <f t="shared" si="0"/>
        <v>0</v>
      </c>
      <c r="R31" s="98">
        <f>年金所得への変更用!I17</f>
        <v>0</v>
      </c>
      <c r="S31" s="98">
        <f>年金所得への変更用!K17</f>
        <v>0</v>
      </c>
      <c r="T31" s="48">
        <f t="shared" si="1"/>
        <v>0</v>
      </c>
      <c r="U31" s="96">
        <f>Q31+L31+S31</f>
        <v>0</v>
      </c>
      <c r="V31" s="99">
        <f>MAX(0,Q31+L31+R31-リスト!$E$1)</f>
        <v>0</v>
      </c>
      <c r="W31" s="139"/>
      <c r="X31" s="136">
        <f>IF(OR(G31=0,H31="旧被扶養者"),0,INT(V31*$X$15))</f>
        <v>0</v>
      </c>
      <c r="Y31" s="36"/>
      <c r="Z31" s="35">
        <f>+AB31*AC31</f>
        <v>0</v>
      </c>
      <c r="AA31" s="59" t="s">
        <v>27</v>
      </c>
      <c r="AB31" s="60">
        <f>IF(N31="A",$Z$15/2,$Z$15)</f>
        <v>26600</v>
      </c>
      <c r="AC31" s="118">
        <f>IF(G31="",0,IF($H$9="７割軽減",0.3,IF(H31="旧被扶養者",0.5,$U$40)))</f>
        <v>0</v>
      </c>
      <c r="AE31" s="95">
        <f>IF(OR(G31=0,H12="旧被扶養者"),0,INT(V31*$AE$15))</f>
        <v>0</v>
      </c>
      <c r="AF31" s="36"/>
      <c r="AG31" s="37">
        <f>AI31*AJ31</f>
        <v>0</v>
      </c>
      <c r="AH31" s="64" t="s">
        <v>51</v>
      </c>
      <c r="AI31" s="65">
        <f>IF(N31="A",$AG$15/2,$AG$15)</f>
        <v>9000</v>
      </c>
      <c r="AJ31" s="120">
        <f>IF(G31=0,0,IF($H$9="７割軽減",0.3,IF(H29="旧被扶養者",0.5,$U$40)))</f>
        <v>0</v>
      </c>
      <c r="AL31" s="38">
        <f>IF(G31=0,0,IF(N31="D",INT(V31*$AL$15),0))</f>
        <v>0</v>
      </c>
      <c r="AM31" s="36"/>
      <c r="AN31" s="38">
        <f>AP31*AQ31</f>
        <v>0</v>
      </c>
      <c r="AO31" s="68" t="s">
        <v>51</v>
      </c>
      <c r="AP31" s="66">
        <f>$AN$15</f>
        <v>9600</v>
      </c>
      <c r="AQ31" s="122">
        <f>IF(N31="D",$U$40,0)</f>
        <v>0</v>
      </c>
    </row>
    <row r="32" spans="2:43" ht="4.1500000000000004" customHeight="1">
      <c r="B32" s="18"/>
      <c r="C32" s="18"/>
      <c r="D32" s="27"/>
      <c r="E32" s="20"/>
      <c r="F32" s="29"/>
      <c r="G32" s="114"/>
      <c r="H32" s="114"/>
      <c r="I32" s="18"/>
      <c r="J32" s="53"/>
      <c r="K32" s="54"/>
      <c r="L32" s="55"/>
      <c r="M32" s="18"/>
      <c r="N32" s="112"/>
      <c r="O32" s="100">
        <f>年金所得への変更用!O18</f>
        <v>0</v>
      </c>
      <c r="P32" s="48"/>
      <c r="Q32" s="100">
        <f t="shared" si="0"/>
        <v>0</v>
      </c>
      <c r="R32" s="101">
        <f>年金所得への変更用!I18</f>
        <v>0</v>
      </c>
      <c r="S32" s="100">
        <f>年金所得への変更用!K18</f>
        <v>0</v>
      </c>
      <c r="T32" s="48">
        <f t="shared" si="1"/>
        <v>0</v>
      </c>
      <c r="U32" s="102"/>
      <c r="V32" s="99">
        <f>MAX(0,Q32+L32+R32-リスト!$E$1)</f>
        <v>0</v>
      </c>
      <c r="W32" s="109"/>
      <c r="X32" s="39"/>
      <c r="Y32" s="36"/>
      <c r="Z32" s="36"/>
      <c r="AA32" s="61"/>
      <c r="AB32" s="62"/>
      <c r="AC32" s="63"/>
      <c r="AE32" s="39"/>
      <c r="AF32" s="36"/>
      <c r="AG32" s="36"/>
      <c r="AH32" s="63"/>
      <c r="AI32" s="62"/>
      <c r="AJ32" s="63"/>
      <c r="AL32" s="36"/>
      <c r="AM32" s="36"/>
      <c r="AN32" s="36"/>
      <c r="AO32" s="67"/>
      <c r="AP32" s="67"/>
      <c r="AQ32" s="67"/>
    </row>
    <row r="33" spans="2:43">
      <c r="B33" s="18"/>
      <c r="C33" s="18"/>
      <c r="D33" s="27" t="s">
        <v>1</v>
      </c>
      <c r="E33" s="19"/>
      <c r="F33" s="28">
        <f t="shared" ref="F33" si="6">F31+1</f>
        <v>8</v>
      </c>
      <c r="G33" s="115"/>
      <c r="H33" s="115" t="s">
        <v>35</v>
      </c>
      <c r="I33" s="18"/>
      <c r="J33" s="50"/>
      <c r="K33" s="51"/>
      <c r="L33" s="52"/>
      <c r="M33" s="18"/>
      <c r="N33" s="112" t="str">
        <f>IF(G33=リスト!$H$14,"A",IF(G33=リスト!$I$14,"B",IF(G33=リスト!$J$14,"H",IF(G33=リスト!$K$14,"D",IF(G33=リスト!$L$14,"E",IF(G33=リスト!$M$14,"F","G"))))))</f>
        <v>G</v>
      </c>
      <c r="O33" s="98">
        <f>年金所得への変更用!O19</f>
        <v>0</v>
      </c>
      <c r="P33" s="97">
        <f>IF(H33="非自発的失業",0.3,1)</f>
        <v>1</v>
      </c>
      <c r="Q33" s="98">
        <f t="shared" si="0"/>
        <v>0</v>
      </c>
      <c r="R33" s="98">
        <f>年金所得への変更用!I19</f>
        <v>0</v>
      </c>
      <c r="S33" s="98">
        <f>年金所得への変更用!K19</f>
        <v>0</v>
      </c>
      <c r="T33" s="48">
        <f t="shared" si="1"/>
        <v>0</v>
      </c>
      <c r="U33" s="96">
        <f>Q33+L33+S33</f>
        <v>0</v>
      </c>
      <c r="V33" s="99">
        <f>MAX(0,Q33+L33+R33-リスト!$E$1)</f>
        <v>0</v>
      </c>
      <c r="W33" s="139"/>
      <c r="X33" s="136">
        <f>IF(OR(G33=0,H33="旧被扶養者"),0,INT(V33*$X$15))</f>
        <v>0</v>
      </c>
      <c r="Y33" s="36"/>
      <c r="Z33" s="35">
        <f>+AB33*AC33</f>
        <v>0</v>
      </c>
      <c r="AA33" s="59" t="s">
        <v>27</v>
      </c>
      <c r="AB33" s="60">
        <f>IF(N33="A",$Z$15/2,$Z$15)</f>
        <v>26600</v>
      </c>
      <c r="AC33" s="118">
        <f>IF(G33="",0,IF($H$9="７割軽減",0.3,IF(H33="旧被扶養者",0.5,$U$40)))</f>
        <v>0</v>
      </c>
      <c r="AE33" s="95">
        <f>IF(OR(G33=0,H15="旧被扶養者"),0,INT(V33*$AE$15))</f>
        <v>0</v>
      </c>
      <c r="AF33" s="36"/>
      <c r="AG33" s="37">
        <f>AI33*AJ33</f>
        <v>0</v>
      </c>
      <c r="AH33" s="64" t="s">
        <v>51</v>
      </c>
      <c r="AI33" s="65">
        <f>IF(N33="A",$AG$15/2,$AG$15)</f>
        <v>9000</v>
      </c>
      <c r="AJ33" s="120">
        <f>IF(G33=0,0,IF($H$9="７割軽減",0.3,IF(H31="旧被扶養者",0.5,$U$40)))</f>
        <v>0</v>
      </c>
      <c r="AL33" s="38">
        <f>IF(G33=0,0,IF(N33="D",INT(V33*$AL$15),0))</f>
        <v>0</v>
      </c>
      <c r="AM33" s="36"/>
      <c r="AN33" s="38">
        <f>AP33*AQ33</f>
        <v>0</v>
      </c>
      <c r="AO33" s="68" t="s">
        <v>51</v>
      </c>
      <c r="AP33" s="66">
        <f>$AN$15</f>
        <v>9600</v>
      </c>
      <c r="AQ33" s="122">
        <f>IF(N33="D",$U$40,0)</f>
        <v>0</v>
      </c>
    </row>
    <row r="34" spans="2:43" ht="4.1500000000000004" customHeight="1">
      <c r="B34" s="18"/>
      <c r="C34" s="18"/>
      <c r="D34" s="27"/>
      <c r="E34" s="20"/>
      <c r="F34" s="29"/>
      <c r="G34" s="114"/>
      <c r="H34" s="114"/>
      <c r="I34" s="18"/>
      <c r="J34" s="53"/>
      <c r="K34" s="54"/>
      <c r="L34" s="55"/>
      <c r="M34" s="18"/>
      <c r="N34" s="112"/>
      <c r="O34" s="100">
        <f>年金所得への変更用!O20</f>
        <v>0</v>
      </c>
      <c r="P34" s="48"/>
      <c r="Q34" s="100">
        <f t="shared" si="0"/>
        <v>0</v>
      </c>
      <c r="R34" s="101">
        <f>年金所得への変更用!I20</f>
        <v>0</v>
      </c>
      <c r="S34" s="100">
        <f>年金所得への変更用!K20</f>
        <v>0</v>
      </c>
      <c r="T34" s="48">
        <f t="shared" si="1"/>
        <v>0</v>
      </c>
      <c r="U34" s="102"/>
      <c r="V34" s="99">
        <f>MAX(0,Q34+L34+R34-リスト!$E$1)</f>
        <v>0</v>
      </c>
      <c r="W34" s="109"/>
      <c r="X34" s="39"/>
      <c r="Y34" s="36"/>
      <c r="Z34" s="36"/>
      <c r="AA34" s="61"/>
      <c r="AB34" s="62"/>
      <c r="AC34" s="63"/>
      <c r="AE34" s="39"/>
      <c r="AF34" s="36"/>
      <c r="AG34" s="36"/>
      <c r="AH34" s="63"/>
      <c r="AI34" s="62"/>
      <c r="AJ34" s="63"/>
      <c r="AL34" s="36"/>
      <c r="AM34" s="36"/>
      <c r="AN34" s="36"/>
      <c r="AO34" s="67"/>
      <c r="AP34" s="67"/>
      <c r="AQ34" s="67"/>
    </row>
    <row r="35" spans="2:43">
      <c r="B35" s="18"/>
      <c r="C35" s="18"/>
      <c r="D35" s="27" t="s">
        <v>1</v>
      </c>
      <c r="E35" s="19"/>
      <c r="F35" s="28">
        <f t="shared" ref="F35" si="7">F33+1</f>
        <v>9</v>
      </c>
      <c r="G35" s="115"/>
      <c r="H35" s="115" t="s">
        <v>35</v>
      </c>
      <c r="I35" s="18"/>
      <c r="J35" s="50"/>
      <c r="K35" s="51"/>
      <c r="L35" s="52"/>
      <c r="M35" s="18"/>
      <c r="N35" s="112" t="str">
        <f>IF(G35=リスト!$H$14,"A",IF(G35=リスト!$I$14,"B",IF(G35=リスト!$J$14,"H",IF(G35=リスト!$K$14,"D",IF(G35=リスト!$L$14,"E",IF(G35=リスト!$M$14,"F","G"))))))</f>
        <v>G</v>
      </c>
      <c r="O35" s="98">
        <f>年金所得への変更用!O21</f>
        <v>0</v>
      </c>
      <c r="P35" s="97">
        <f>IF(H35="非自発的失業",0.3,1)</f>
        <v>1</v>
      </c>
      <c r="Q35" s="98">
        <f t="shared" si="0"/>
        <v>0</v>
      </c>
      <c r="R35" s="98">
        <f>年金所得への変更用!I21</f>
        <v>0</v>
      </c>
      <c r="S35" s="98">
        <f>年金所得への変更用!K21</f>
        <v>0</v>
      </c>
      <c r="T35" s="48">
        <f t="shared" si="1"/>
        <v>0</v>
      </c>
      <c r="U35" s="96">
        <f>Q35+L35+S35</f>
        <v>0</v>
      </c>
      <c r="V35" s="99">
        <f>MAX(0,Q35+L35+R35-リスト!$E$1)</f>
        <v>0</v>
      </c>
      <c r="W35" s="139"/>
      <c r="X35" s="136">
        <f>IF(OR(G35=0,H35="旧被扶養者"),0,INT(V35*$X$15))</f>
        <v>0</v>
      </c>
      <c r="Y35" s="36"/>
      <c r="Z35" s="35">
        <f>+AB35*AC35</f>
        <v>0</v>
      </c>
      <c r="AA35" s="59" t="s">
        <v>27</v>
      </c>
      <c r="AB35" s="60">
        <f>IF(N35="A",$Z$15/2,$Z$15)</f>
        <v>26600</v>
      </c>
      <c r="AC35" s="118">
        <f>IF(G35="",0,IF($H$9="７割軽減",0.3,IF(H35="旧被扶養者",0.5,$U$40)))</f>
        <v>0</v>
      </c>
      <c r="AE35" s="95">
        <f>IF(OR(G35=0,H17="旧被扶養者"),0,INT(V35*$AE$15))</f>
        <v>0</v>
      </c>
      <c r="AF35" s="36"/>
      <c r="AG35" s="37">
        <f>AI35*AJ35</f>
        <v>0</v>
      </c>
      <c r="AH35" s="64" t="s">
        <v>51</v>
      </c>
      <c r="AI35" s="65">
        <f>IF(N35="A",$AG$15/2,$AG$15)</f>
        <v>9000</v>
      </c>
      <c r="AJ35" s="120">
        <f>IF(G35=0,0,IF($H$9="７割軽減",0.3,IF(H33="旧被扶養者",0.5,$U$40)))</f>
        <v>0</v>
      </c>
      <c r="AL35" s="38">
        <f>IF(G35=0,0,IF(N35="D",INT(V35*$AL$15),0))</f>
        <v>0</v>
      </c>
      <c r="AM35" s="36"/>
      <c r="AN35" s="38">
        <f>AP35*AQ35</f>
        <v>0</v>
      </c>
      <c r="AO35" s="68" t="s">
        <v>51</v>
      </c>
      <c r="AP35" s="66">
        <f>$AN$15</f>
        <v>9600</v>
      </c>
      <c r="AQ35" s="122">
        <f>IF(N35="D",$U$40,0)</f>
        <v>0</v>
      </c>
    </row>
    <row r="36" spans="2:43" ht="4.1500000000000004" customHeight="1" thickBot="1">
      <c r="B36" s="18"/>
      <c r="C36" s="18"/>
      <c r="D36" s="19"/>
      <c r="E36" s="20"/>
      <c r="F36" s="20"/>
      <c r="G36" s="18"/>
      <c r="H36" s="18"/>
      <c r="I36" s="18"/>
      <c r="J36" s="44"/>
      <c r="K36" s="44"/>
      <c r="L36" s="44"/>
      <c r="M36" s="18"/>
      <c r="N36" s="18"/>
      <c r="O36" s="18"/>
      <c r="P36" s="18"/>
      <c r="Q36" s="18"/>
      <c r="R36" s="58"/>
      <c r="S36" s="18"/>
      <c r="T36" s="18">
        <f t="shared" si="1"/>
        <v>0</v>
      </c>
      <c r="U36" s="23"/>
      <c r="V36" s="18"/>
      <c r="X36" s="34"/>
      <c r="Z36" s="34"/>
      <c r="AA36" s="4"/>
      <c r="AE36" s="34"/>
      <c r="AL36" s="34"/>
    </row>
    <row r="37" spans="2:43">
      <c r="B37" s="18"/>
      <c r="C37" s="18"/>
      <c r="D37" s="18"/>
      <c r="E37" s="18"/>
      <c r="F37" s="18"/>
      <c r="G37" s="18"/>
      <c r="H37" s="20" t="s">
        <v>59</v>
      </c>
      <c r="I37" s="18"/>
      <c r="J37" s="18"/>
      <c r="K37" s="18"/>
      <c r="L37" s="18"/>
      <c r="M37" s="18"/>
      <c r="N37" s="18"/>
      <c r="O37" s="18"/>
      <c r="P37" s="18"/>
      <c r="Q37" s="18"/>
      <c r="R37" s="18"/>
      <c r="S37" s="18"/>
      <c r="T37" s="18"/>
      <c r="U37" s="23"/>
      <c r="V37" s="18"/>
      <c r="W37" s="141"/>
      <c r="X37" s="21" t="s">
        <v>25</v>
      </c>
      <c r="Y37" s="146"/>
      <c r="Z37" s="17" t="s">
        <v>26</v>
      </c>
      <c r="AA37" s="16"/>
      <c r="AB37" s="78" t="s">
        <v>15</v>
      </c>
      <c r="AC37" s="79"/>
      <c r="AD37" s="16"/>
      <c r="AE37" s="15" t="s">
        <v>25</v>
      </c>
      <c r="AF37" s="147"/>
      <c r="AG37" s="15" t="s">
        <v>26</v>
      </c>
      <c r="AH37" s="16"/>
      <c r="AI37" s="78" t="s">
        <v>15</v>
      </c>
      <c r="AJ37" s="79"/>
      <c r="AL37" s="15" t="s">
        <v>25</v>
      </c>
      <c r="AM37" s="147"/>
      <c r="AN37" s="107" t="s">
        <v>26</v>
      </c>
      <c r="AO37" s="16"/>
      <c r="AP37" s="78" t="s">
        <v>15</v>
      </c>
      <c r="AQ37" s="79"/>
    </row>
    <row r="38" spans="2:43">
      <c r="B38" s="18"/>
      <c r="C38" s="18"/>
      <c r="D38" s="18"/>
      <c r="E38" s="18"/>
      <c r="F38" s="18"/>
      <c r="G38" s="18"/>
      <c r="H38" s="20" t="s">
        <v>104</v>
      </c>
      <c r="I38" s="18"/>
      <c r="J38" s="18"/>
      <c r="K38" s="18"/>
      <c r="L38" s="18"/>
      <c r="M38" s="18"/>
      <c r="N38" s="18"/>
      <c r="O38" s="18"/>
      <c r="P38" s="18"/>
      <c r="Q38" s="18"/>
      <c r="R38" s="18"/>
      <c r="S38" s="18" t="s">
        <v>76</v>
      </c>
      <c r="T38" s="18"/>
      <c r="U38" s="103">
        <f>SUM(U17:U35)</f>
        <v>0</v>
      </c>
      <c r="V38" s="18"/>
      <c r="W38" s="141"/>
      <c r="X38" s="76">
        <f>SUM(X17:X35)</f>
        <v>0</v>
      </c>
      <c r="Z38" s="77">
        <f>+Z17+Z19+Z21+Z23+Z25+Z27+Z29+Z31+Z33+Z35</f>
        <v>7980</v>
      </c>
      <c r="AA38" s="9"/>
      <c r="AB38" s="80">
        <f>+AB40*AC40</f>
        <v>7500</v>
      </c>
      <c r="AC38" s="81"/>
      <c r="AE38" s="105">
        <f>SUM(AE17:AE35)</f>
        <v>0</v>
      </c>
      <c r="AG38" s="105">
        <f>SUM(AG17:AG35)</f>
        <v>2700</v>
      </c>
      <c r="AI38" s="106">
        <f>AI40*AJ40</f>
        <v>2400</v>
      </c>
      <c r="AJ38" s="81"/>
      <c r="AL38" s="105">
        <f>SUM(AL17:AL35)</f>
        <v>0</v>
      </c>
      <c r="AN38" s="105">
        <f>SUM(AN17:AN35)</f>
        <v>0</v>
      </c>
      <c r="AP38" s="106">
        <f>AP40*AQ40</f>
        <v>1860</v>
      </c>
      <c r="AQ38" s="81"/>
    </row>
    <row r="39" spans="2:43" ht="1.1499999999999999" customHeight="1">
      <c r="B39" s="18"/>
      <c r="C39" s="18"/>
      <c r="D39" s="18"/>
      <c r="E39" s="18"/>
      <c r="F39" s="18"/>
      <c r="G39" s="18"/>
      <c r="H39" s="18"/>
      <c r="I39" s="18"/>
      <c r="J39" s="18"/>
      <c r="K39" s="18"/>
      <c r="L39" s="18"/>
      <c r="M39" s="18"/>
      <c r="N39" s="18"/>
      <c r="O39" s="18"/>
      <c r="P39" s="18"/>
      <c r="Q39" s="18"/>
      <c r="R39" s="18"/>
      <c r="S39" s="18"/>
      <c r="T39" s="18"/>
      <c r="U39" s="23"/>
      <c r="V39" s="18"/>
      <c r="AB39" s="82"/>
    </row>
    <row r="40" spans="2:43" ht="18" customHeight="1">
      <c r="B40" s="18"/>
      <c r="C40" s="18"/>
      <c r="D40" s="18"/>
      <c r="E40" s="18"/>
      <c r="F40" s="18"/>
      <c r="G40" s="18"/>
      <c r="H40" s="18"/>
      <c r="I40" s="18"/>
      <c r="J40" s="20" t="s">
        <v>105</v>
      </c>
      <c r="K40" s="18"/>
      <c r="L40" s="18"/>
      <c r="M40" s="18"/>
      <c r="N40" s="18"/>
      <c r="O40" s="18"/>
      <c r="P40" s="18"/>
      <c r="Q40" s="92" t="s">
        <v>80</v>
      </c>
      <c r="R40" s="104">
        <f>COUNTA($G$17:$G$35)</f>
        <v>0</v>
      </c>
      <c r="S40" s="92" t="s">
        <v>77</v>
      </c>
      <c r="T40" s="18"/>
      <c r="U40" s="93">
        <f>VLOOKUP($H$9,$U$42:$V$45,2,0)</f>
        <v>0.3</v>
      </c>
      <c r="V40" s="18" t="s">
        <v>81</v>
      </c>
      <c r="Z40" s="4"/>
      <c r="AA40" s="4"/>
      <c r="AB40" s="151">
        <f>リスト!C5</f>
        <v>25000</v>
      </c>
      <c r="AC40" s="119">
        <f>U40</f>
        <v>0.3</v>
      </c>
      <c r="AI40" s="152">
        <f>リスト!D5</f>
        <v>8000</v>
      </c>
      <c r="AJ40" s="121">
        <f>U40</f>
        <v>0.3</v>
      </c>
      <c r="AL40" s="192">
        <f>COUNTIF(N17:N36,"D")</f>
        <v>0</v>
      </c>
      <c r="AP40" s="155">
        <f>リスト!E5</f>
        <v>6200</v>
      </c>
      <c r="AQ40" s="123">
        <f>U40</f>
        <v>0.3</v>
      </c>
    </row>
    <row r="41" spans="2:43" ht="2.4500000000000002" customHeight="1" thickBot="1">
      <c r="B41" s="18"/>
      <c r="C41" s="18"/>
      <c r="D41" s="18"/>
      <c r="E41" s="18"/>
      <c r="F41" s="18"/>
      <c r="G41" s="18"/>
      <c r="H41" s="18"/>
      <c r="I41" s="18"/>
      <c r="J41" s="172"/>
      <c r="K41" s="18"/>
      <c r="L41" s="18"/>
      <c r="M41" s="18"/>
      <c r="N41" s="18"/>
      <c r="O41" s="18"/>
      <c r="P41" s="18"/>
      <c r="Q41" s="18"/>
      <c r="R41" s="18"/>
      <c r="S41" s="18"/>
      <c r="T41" s="18"/>
      <c r="U41" s="23"/>
      <c r="V41" s="18"/>
      <c r="Z41" s="4"/>
      <c r="AA41" s="4"/>
      <c r="AB41" s="75"/>
      <c r="AI41" s="75"/>
      <c r="AP41" s="75"/>
    </row>
    <row r="42" spans="2:43">
      <c r="B42" s="18"/>
      <c r="C42" s="18"/>
      <c r="D42" s="18"/>
      <c r="E42" s="18"/>
      <c r="F42" s="18"/>
      <c r="G42" s="18"/>
      <c r="H42" s="18"/>
      <c r="I42" s="20" t="s">
        <v>100</v>
      </c>
      <c r="J42" s="18"/>
      <c r="K42" s="18"/>
      <c r="L42" s="18"/>
      <c r="M42" s="189">
        <f>リスト!K3</f>
        <v>100000</v>
      </c>
      <c r="N42" s="189">
        <f>リスト!I3</f>
        <v>430000</v>
      </c>
      <c r="O42" s="18"/>
      <c r="P42" s="69" t="s">
        <v>52</v>
      </c>
      <c r="Q42" s="70"/>
      <c r="R42" s="71">
        <f>IF(SUM($T$17:$T$35)&lt;2,N42,N42+(M42*(SUM($T$17:$T$35)-1)))</f>
        <v>430000</v>
      </c>
      <c r="S42" s="18">
        <v>0</v>
      </c>
      <c r="U42" s="18" t="s">
        <v>55</v>
      </c>
      <c r="V42" s="73">
        <v>0.3</v>
      </c>
      <c r="W42" s="140"/>
      <c r="X42" s="137" t="s">
        <v>60</v>
      </c>
      <c r="Z42" s="83" t="s">
        <v>61</v>
      </c>
      <c r="AA42" s="16"/>
      <c r="AB42" s="229" t="s">
        <v>62</v>
      </c>
      <c r="AC42" s="230"/>
      <c r="AE42" s="74" t="s">
        <v>60</v>
      </c>
      <c r="AG42" s="83" t="s">
        <v>65</v>
      </c>
      <c r="AI42" s="229" t="s">
        <v>64</v>
      </c>
      <c r="AJ42" s="230"/>
      <c r="AL42" s="74" t="s">
        <v>60</v>
      </c>
      <c r="AN42" s="83" t="s">
        <v>66</v>
      </c>
      <c r="AP42" s="229" t="s">
        <v>63</v>
      </c>
      <c r="AQ42" s="230"/>
    </row>
    <row r="43" spans="2:43" ht="20.25" thickBot="1">
      <c r="B43" s="18"/>
      <c r="C43" s="18"/>
      <c r="D43" s="18"/>
      <c r="E43" s="18"/>
      <c r="F43" s="18"/>
      <c r="G43" s="18"/>
      <c r="H43" s="18"/>
      <c r="I43" s="18"/>
      <c r="J43" s="18"/>
      <c r="K43" s="18"/>
      <c r="L43" s="18"/>
      <c r="M43" s="189">
        <f>リスト!K4</f>
        <v>100000</v>
      </c>
      <c r="N43" s="189">
        <f>リスト!I4</f>
        <v>430000</v>
      </c>
      <c r="O43" s="189">
        <f>リスト!J4</f>
        <v>295000</v>
      </c>
      <c r="P43" s="69" t="s">
        <v>53</v>
      </c>
      <c r="Q43" s="70"/>
      <c r="R43" s="71">
        <f>IF(SUM($T$17:$T$35)&lt;2,N43,N43+(M43*(SUM($T$17:$T$35)-1)))+(O43*$R$40)</f>
        <v>430000</v>
      </c>
      <c r="S43" s="72">
        <f>R42</f>
        <v>430000</v>
      </c>
      <c r="U43" s="18" t="s">
        <v>56</v>
      </c>
      <c r="V43" s="73">
        <v>0.5</v>
      </c>
      <c r="W43" s="140"/>
      <c r="X43" s="138">
        <f>+X38+Z38+AB38</f>
        <v>15480</v>
      </c>
      <c r="Y43" s="2"/>
      <c r="Z43" s="10">
        <v>650000</v>
      </c>
      <c r="AB43" s="227">
        <f>MIN(ROUNDDOWN(X43,-2),Z43)</f>
        <v>15400</v>
      </c>
      <c r="AC43" s="228"/>
      <c r="AE43" s="117">
        <f>+AE38+AG38+AI38</f>
        <v>5100</v>
      </c>
      <c r="AF43" s="2"/>
      <c r="AG43" s="10">
        <v>200000</v>
      </c>
      <c r="AI43" s="231">
        <f>MIN(ROUNDDOWN(AE43,-2),AG43)</f>
        <v>5100</v>
      </c>
      <c r="AJ43" s="232"/>
      <c r="AL43" s="116">
        <f>IF(AL40=0,0,AL38+AN38+AP38)</f>
        <v>0</v>
      </c>
      <c r="AM43" s="2"/>
      <c r="AN43" s="10">
        <v>170000</v>
      </c>
      <c r="AP43" s="233">
        <f>MIN(ROUNDDOWN(AL43,-2),AN43)</f>
        <v>0</v>
      </c>
      <c r="AQ43" s="234"/>
    </row>
    <row r="44" spans="2:43" ht="8.4499999999999993" customHeight="1">
      <c r="M44" s="57">
        <f>リスト!K5</f>
        <v>100000</v>
      </c>
      <c r="N44" s="189">
        <f>リスト!I5</f>
        <v>430000</v>
      </c>
      <c r="O44" s="189">
        <f>リスト!J5</f>
        <v>545000</v>
      </c>
      <c r="P44" s="69" t="s">
        <v>54</v>
      </c>
      <c r="Q44" s="70"/>
      <c r="R44" s="71">
        <f>IF(SUM($T$17:$T$35)&lt;2,N44,N44+(M44*(SUM($T$17:$T$35)-1)))+(O44*$R$40)</f>
        <v>430000</v>
      </c>
      <c r="S44" s="72">
        <f>R43</f>
        <v>430000</v>
      </c>
      <c r="U44" s="18" t="s">
        <v>57</v>
      </c>
      <c r="V44" s="73">
        <v>0.8</v>
      </c>
      <c r="W44" s="110"/>
    </row>
    <row r="45" spans="2:43" ht="26.45" customHeight="1">
      <c r="S45" s="72">
        <f>R44</f>
        <v>430000</v>
      </c>
      <c r="U45" s="18" t="s">
        <v>58</v>
      </c>
      <c r="V45" s="73">
        <v>1</v>
      </c>
      <c r="W45" s="110"/>
      <c r="AB45" s="216" t="s">
        <v>103</v>
      </c>
      <c r="AC45" s="216"/>
      <c r="AI45" s="216" t="s">
        <v>102</v>
      </c>
      <c r="AJ45" s="216"/>
      <c r="AP45" s="216" t="s">
        <v>102</v>
      </c>
      <c r="AQ45" s="216"/>
    </row>
    <row r="46" spans="2:43">
      <c r="J46" s="2"/>
    </row>
  </sheetData>
  <mergeCells count="23">
    <mergeCell ref="E17:F17"/>
    <mergeCell ref="X12:AC12"/>
    <mergeCell ref="AE12:AJ12"/>
    <mergeCell ref="J13:J15"/>
    <mergeCell ref="K13:K15"/>
    <mergeCell ref="L13:L15"/>
    <mergeCell ref="X13:X14"/>
    <mergeCell ref="Z13:AC14"/>
    <mergeCell ref="AG13:AJ14"/>
    <mergeCell ref="AE13:AE14"/>
    <mergeCell ref="AB45:AC45"/>
    <mergeCell ref="AI45:AJ45"/>
    <mergeCell ref="AP45:AQ45"/>
    <mergeCell ref="AL12:AQ12"/>
    <mergeCell ref="G4:H4"/>
    <mergeCell ref="AL13:AL14"/>
    <mergeCell ref="AN13:AQ14"/>
    <mergeCell ref="AB43:AC43"/>
    <mergeCell ref="AB42:AC42"/>
    <mergeCell ref="AI42:AJ42"/>
    <mergeCell ref="AI43:AJ43"/>
    <mergeCell ref="AP42:AQ42"/>
    <mergeCell ref="AP43:AQ43"/>
  </mergeCells>
  <phoneticPr fontId="3"/>
  <conditionalFormatting sqref="E17:F17">
    <cfRule type="cellIs" dxfId="1" priority="1" operator="equal">
      <formula>"--選択してください--"</formula>
    </cfRule>
  </conditionalFormatting>
  <conditionalFormatting sqref="H19:L35">
    <cfRule type="expression" dxfId="0" priority="2">
      <formula>$N19="G"</formula>
    </cfRule>
  </conditionalFormatting>
  <dataValidations count="4">
    <dataValidation type="list" allowBlank="1" showInputMessage="1" showErrorMessage="1" sqref="H17 H21 H33 H31 H27 H23 H25 H35 H19 H29" xr:uid="{00000000-0002-0000-0000-000000000000}">
      <formula1>INDIRECT($N17)</formula1>
    </dataValidation>
    <dataValidation type="list" allowBlank="1" showInputMessage="1" showErrorMessage="1" sqref="G29" xr:uid="{00000000-0002-0000-0000-000001000000}">
      <formula1>$E$15:$E$20</formula1>
    </dataValidation>
    <dataValidation type="list" allowBlank="1" showInputMessage="1" showErrorMessage="1" sqref="G17" xr:uid="{00000000-0002-0000-0000-000002000000}">
      <formula1>INDIRECT($E17)</formula1>
    </dataValidation>
    <dataValidation type="list" allowBlank="1" showInputMessage="1" showErrorMessage="1" sqref="G19 G21 G23 G25 G27 G30 G31 G33 G35" xr:uid="{00000000-0002-0000-0000-000003000000}">
      <formula1>国保加入者</formula1>
    </dataValidation>
  </dataValidations>
  <pageMargins left="0.12" right="0.12" top="0.75" bottom="0.26" header="0.3" footer="0.3"/>
  <pageSetup paperSize="9" scale="6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リスト!$C$10:$C$12</xm:f>
          </x14:formula1>
          <xm:sqref>E17:F17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V21"/>
  <sheetViews>
    <sheetView workbookViewId="0"/>
  </sheetViews>
  <sheetFormatPr defaultRowHeight="18.75"/>
  <cols>
    <col min="1" max="1" width="3.125" customWidth="1"/>
    <col min="3" max="5" width="15.25" customWidth="1"/>
    <col min="6" max="7" width="1.625" customWidth="1"/>
    <col min="8" max="14" width="13.625" customWidth="1"/>
    <col min="15" max="15" width="11" customWidth="1"/>
    <col min="16" max="16" width="11.75" customWidth="1"/>
    <col min="17" max="17" width="12.75" customWidth="1"/>
    <col min="19" max="19" width="11.875" customWidth="1"/>
    <col min="21" max="21" width="17.5" customWidth="1"/>
  </cols>
  <sheetData>
    <row r="1" spans="2:22">
      <c r="D1" s="13" t="s">
        <v>101</v>
      </c>
      <c r="E1" s="10">
        <v>430000</v>
      </c>
    </row>
    <row r="2" spans="2:22" ht="25.9" customHeight="1">
      <c r="B2" s="13" t="s">
        <v>24</v>
      </c>
      <c r="C2" s="14" t="s">
        <v>13</v>
      </c>
      <c r="D2" s="13" t="s">
        <v>12</v>
      </c>
      <c r="E2" s="13" t="s">
        <v>21</v>
      </c>
      <c r="H2" s="190"/>
      <c r="I2" s="191" t="s">
        <v>108</v>
      </c>
      <c r="J2" s="191" t="s">
        <v>106</v>
      </c>
      <c r="K2" s="191" t="s">
        <v>107</v>
      </c>
      <c r="O2" s="88"/>
      <c r="P2" s="88"/>
      <c r="Q2" s="88"/>
      <c r="R2" s="88"/>
      <c r="S2" s="88"/>
      <c r="T2" s="88"/>
      <c r="U2" s="88"/>
      <c r="V2" s="88"/>
    </row>
    <row r="3" spans="2:22">
      <c r="B3" s="13" t="s">
        <v>16</v>
      </c>
      <c r="C3" s="12">
        <v>9.1999999999999998E-2</v>
      </c>
      <c r="D3" s="11">
        <v>2.9000000000000001E-2</v>
      </c>
      <c r="E3" s="11">
        <v>2.4E-2</v>
      </c>
      <c r="H3" s="191" t="s">
        <v>55</v>
      </c>
      <c r="I3" s="10">
        <v>430000</v>
      </c>
      <c r="J3" s="188"/>
      <c r="K3" s="10">
        <v>100000</v>
      </c>
    </row>
    <row r="4" spans="2:22">
      <c r="B4" s="13" t="s">
        <v>22</v>
      </c>
      <c r="C4" s="10">
        <v>26600</v>
      </c>
      <c r="D4" s="10">
        <v>9000</v>
      </c>
      <c r="E4" s="10">
        <v>9600</v>
      </c>
      <c r="H4" s="191" t="s">
        <v>56</v>
      </c>
      <c r="I4" s="10">
        <v>430000</v>
      </c>
      <c r="J4" s="215">
        <v>295000</v>
      </c>
      <c r="K4" s="10">
        <v>100000</v>
      </c>
    </row>
    <row r="5" spans="2:22">
      <c r="B5" s="13" t="s">
        <v>15</v>
      </c>
      <c r="C5" s="10">
        <v>25000</v>
      </c>
      <c r="D5" s="10">
        <v>8000</v>
      </c>
      <c r="E5" s="10">
        <v>6200</v>
      </c>
      <c r="H5" s="191" t="s">
        <v>57</v>
      </c>
      <c r="I5" s="10">
        <v>430000</v>
      </c>
      <c r="J5" s="215">
        <v>545000</v>
      </c>
      <c r="K5" s="10">
        <v>100000</v>
      </c>
    </row>
    <row r="6" spans="2:22">
      <c r="B6" s="13" t="s">
        <v>23</v>
      </c>
      <c r="C6" s="10">
        <v>660000</v>
      </c>
      <c r="D6" s="215">
        <v>260000</v>
      </c>
      <c r="E6" s="10">
        <v>170000</v>
      </c>
    </row>
    <row r="9" spans="2:22">
      <c r="C9" s="6" t="s">
        <v>0</v>
      </c>
    </row>
    <row r="10" spans="2:22">
      <c r="C10" s="193" t="s">
        <v>35</v>
      </c>
    </row>
    <row r="11" spans="2:22">
      <c r="C11" s="197" t="s">
        <v>33</v>
      </c>
    </row>
    <row r="12" spans="2:22">
      <c r="C12" s="197" t="s">
        <v>34</v>
      </c>
      <c r="D12" s="8"/>
      <c r="H12" t="s">
        <v>8</v>
      </c>
    </row>
    <row r="13" spans="2:22" ht="25.5">
      <c r="H13" s="89" t="s">
        <v>68</v>
      </c>
      <c r="I13" s="90" t="s">
        <v>69</v>
      </c>
      <c r="J13" s="90" t="s">
        <v>79</v>
      </c>
      <c r="K13" s="90" t="s">
        <v>70</v>
      </c>
      <c r="L13" s="90" t="s">
        <v>71</v>
      </c>
      <c r="M13" s="91" t="s">
        <v>72</v>
      </c>
      <c r="N13" s="205" t="s">
        <v>95</v>
      </c>
    </row>
    <row r="14" spans="2:22">
      <c r="C14" s="209" t="s">
        <v>33</v>
      </c>
      <c r="D14" s="206" t="s">
        <v>34</v>
      </c>
      <c r="E14" s="7" t="s">
        <v>1</v>
      </c>
      <c r="H14" s="195" t="s">
        <v>82</v>
      </c>
      <c r="I14" s="196" t="s">
        <v>83</v>
      </c>
      <c r="J14" s="196" t="s">
        <v>74</v>
      </c>
      <c r="K14" s="196" t="s">
        <v>4</v>
      </c>
      <c r="L14" s="196" t="s">
        <v>5</v>
      </c>
      <c r="M14" s="196" t="s">
        <v>6</v>
      </c>
      <c r="N14" s="7" t="s">
        <v>110</v>
      </c>
    </row>
    <row r="15" spans="2:22">
      <c r="C15" s="207" t="s">
        <v>35</v>
      </c>
      <c r="D15" s="207" t="s">
        <v>35</v>
      </c>
      <c r="E15" s="193" t="s">
        <v>35</v>
      </c>
      <c r="F15" s="194"/>
      <c r="G15" s="194"/>
      <c r="H15" s="198" t="s">
        <v>78</v>
      </c>
      <c r="I15" s="198" t="s">
        <v>78</v>
      </c>
      <c r="J15" s="199" t="s">
        <v>73</v>
      </c>
      <c r="K15" s="199" t="s">
        <v>35</v>
      </c>
      <c r="L15" s="199" t="s">
        <v>35</v>
      </c>
      <c r="M15" s="198" t="s">
        <v>78</v>
      </c>
      <c r="N15" s="200" t="s">
        <v>35</v>
      </c>
    </row>
    <row r="16" spans="2:22">
      <c r="C16" s="208" t="s">
        <v>82</v>
      </c>
      <c r="D16" s="208" t="s">
        <v>82</v>
      </c>
      <c r="E16" s="197" t="s">
        <v>82</v>
      </c>
      <c r="F16" s="194"/>
      <c r="G16" s="194"/>
      <c r="H16" s="201"/>
      <c r="I16" s="202"/>
      <c r="J16" s="203" t="s">
        <v>75</v>
      </c>
      <c r="K16" s="203" t="s">
        <v>3</v>
      </c>
      <c r="L16" s="203" t="s">
        <v>28</v>
      </c>
      <c r="M16" s="204"/>
      <c r="N16" s="194"/>
    </row>
    <row r="17" spans="3:14">
      <c r="C17" s="208" t="s">
        <v>83</v>
      </c>
      <c r="D17" s="208" t="s">
        <v>83</v>
      </c>
      <c r="E17" s="197" t="s">
        <v>83</v>
      </c>
      <c r="F17" s="194"/>
      <c r="G17" s="194"/>
      <c r="H17" s="201"/>
      <c r="I17" s="202"/>
      <c r="J17" s="203" t="s">
        <v>67</v>
      </c>
      <c r="K17" s="203" t="s">
        <v>67</v>
      </c>
      <c r="L17" s="203" t="s">
        <v>67</v>
      </c>
      <c r="M17" s="204"/>
      <c r="N17" s="194"/>
    </row>
    <row r="18" spans="3:14">
      <c r="C18" s="208" t="s">
        <v>7</v>
      </c>
      <c r="D18" s="208" t="s">
        <v>7</v>
      </c>
      <c r="E18" s="197" t="s">
        <v>7</v>
      </c>
      <c r="F18" s="194"/>
      <c r="G18" s="194"/>
    </row>
    <row r="19" spans="3:14">
      <c r="C19" s="208" t="s">
        <v>4</v>
      </c>
      <c r="D19" s="208" t="s">
        <v>4</v>
      </c>
      <c r="E19" s="197" t="s">
        <v>4</v>
      </c>
      <c r="F19" s="194"/>
      <c r="G19" s="194"/>
      <c r="H19" s="194"/>
      <c r="I19" s="194"/>
      <c r="J19" s="194"/>
      <c r="K19" s="194"/>
      <c r="L19" s="194"/>
      <c r="M19" s="194"/>
      <c r="N19" s="194"/>
    </row>
    <row r="20" spans="3:14">
      <c r="C20" s="208" t="s">
        <v>5</v>
      </c>
      <c r="D20" s="208" t="s">
        <v>5</v>
      </c>
      <c r="E20" s="197" t="s">
        <v>5</v>
      </c>
      <c r="F20" s="194"/>
      <c r="G20" s="194"/>
      <c r="H20" s="194"/>
      <c r="I20" s="194"/>
      <c r="J20" s="194"/>
      <c r="K20" s="194"/>
      <c r="L20" s="194"/>
      <c r="M20" s="194"/>
      <c r="N20" s="194"/>
    </row>
    <row r="21" spans="3:14">
      <c r="C21" s="197" t="s">
        <v>6</v>
      </c>
      <c r="D21" s="194"/>
      <c r="E21" s="194"/>
      <c r="F21" s="194"/>
      <c r="G21" s="194"/>
      <c r="H21" s="194"/>
      <c r="I21" s="194"/>
      <c r="J21" s="194"/>
      <c r="K21" s="194"/>
      <c r="L21" s="194"/>
      <c r="M21" s="194"/>
      <c r="N21" s="194"/>
    </row>
  </sheetData>
  <phoneticPr fontId="3"/>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7"/>
  <sheetViews>
    <sheetView workbookViewId="0"/>
  </sheetViews>
  <sheetFormatPr defaultRowHeight="18.75"/>
  <cols>
    <col min="2" max="2" width="12" customWidth="1"/>
    <col min="3" max="3" width="5.75" customWidth="1"/>
    <col min="4" max="4" width="10.125" customWidth="1"/>
    <col min="7" max="7" width="5.375" style="56" customWidth="1"/>
    <col min="11" max="11" width="9.375" bestFit="1" customWidth="1"/>
    <col min="12" max="12" width="10.75" customWidth="1"/>
  </cols>
  <sheetData>
    <row r="1" spans="1:15">
      <c r="D1" t="s">
        <v>40</v>
      </c>
      <c r="E1" t="s">
        <v>43</v>
      </c>
      <c r="F1" s="22" t="s">
        <v>38</v>
      </c>
    </row>
    <row r="2" spans="1:15" s="85" customFormat="1" ht="16.5">
      <c r="B2" s="85" t="s">
        <v>36</v>
      </c>
      <c r="C2" s="85" t="s">
        <v>39</v>
      </c>
      <c r="D2" s="85" t="s">
        <v>41</v>
      </c>
      <c r="E2" s="85" t="s">
        <v>41</v>
      </c>
      <c r="F2" s="86" t="s">
        <v>37</v>
      </c>
      <c r="G2" s="87" t="s">
        <v>44</v>
      </c>
      <c r="H2" s="85" t="s">
        <v>45</v>
      </c>
      <c r="I2" s="85" t="s">
        <v>46</v>
      </c>
      <c r="K2" s="85" t="s">
        <v>50</v>
      </c>
      <c r="L2" s="85" t="s">
        <v>48</v>
      </c>
      <c r="M2" s="85" t="s">
        <v>47</v>
      </c>
      <c r="O2" s="85" t="s">
        <v>49</v>
      </c>
    </row>
    <row r="3" spans="1:15">
      <c r="A3">
        <v>1</v>
      </c>
      <c r="B3" s="49">
        <f>'新国保世帯用入力 '!K17</f>
        <v>0</v>
      </c>
      <c r="C3" s="1">
        <f xml:space="preserve"> '新国保世帯用入力 '!G17</f>
        <v>0</v>
      </c>
      <c r="D3">
        <f>VLOOKUP(B3,$B$26:$F$31,2,2)</f>
        <v>1</v>
      </c>
      <c r="E3">
        <f>VLOOKUP(B3,$B$32:$E$36,2,2)</f>
        <v>7</v>
      </c>
      <c r="F3">
        <f>IF(OR($F$1=C3,$F$2=C3),E3,D3)</f>
        <v>1</v>
      </c>
      <c r="G3" s="56">
        <f>VLOOKUP(F3,$C$26:$E$36,2,1)</f>
        <v>0</v>
      </c>
      <c r="H3">
        <f>VLOOKUP(F3,$C$26:$E$36,3,1)</f>
        <v>0</v>
      </c>
      <c r="I3" s="5">
        <f>B3*G3-H3</f>
        <v>0</v>
      </c>
      <c r="J3">
        <f>I3-150000</f>
        <v>-150000</v>
      </c>
      <c r="K3" s="84">
        <f>IF(J3&lt;0,0,J3)</f>
        <v>0</v>
      </c>
      <c r="L3">
        <f>IF(I3&lt;100000,I3,100000)</f>
        <v>0</v>
      </c>
      <c r="M3" s="57">
        <f>'新国保世帯用入力 '!J17</f>
        <v>0</v>
      </c>
      <c r="N3" s="57">
        <f>M3-L3</f>
        <v>0</v>
      </c>
      <c r="O3" s="5">
        <f>IF(N3&lt;0,0,N3)</f>
        <v>0</v>
      </c>
    </row>
    <row r="4" spans="1:15" ht="7.9" customHeight="1">
      <c r="A4">
        <v>2</v>
      </c>
      <c r="B4" s="49">
        <f>'新国保世帯用入力 '!K18</f>
        <v>0</v>
      </c>
      <c r="C4" s="1">
        <f xml:space="preserve"> '新国保世帯用入力 '!G18</f>
        <v>0</v>
      </c>
      <c r="D4">
        <f t="shared" ref="D4:D22" si="0">VLOOKUP(B4,$B$26:$F$31,2,2)</f>
        <v>1</v>
      </c>
      <c r="E4">
        <f t="shared" ref="E4:E22" si="1">VLOOKUP(B4,$B$32:$E$36,2,2)</f>
        <v>7</v>
      </c>
      <c r="F4">
        <f t="shared" ref="F4:F22" si="2">IF(OR($F$1=C4,$F$2=C4),E4,D4)</f>
        <v>1</v>
      </c>
      <c r="G4" s="56">
        <f t="shared" ref="G4:G22" si="3">VLOOKUP(F4,$C$26:$E$36,2,1)</f>
        <v>0</v>
      </c>
      <c r="H4">
        <f t="shared" ref="H4:H21" si="4">VLOOKUP(F4,$C$26:$E$36,3,1)</f>
        <v>0</v>
      </c>
      <c r="I4" s="5">
        <f t="shared" ref="I4:I22" si="5">B4*G4-H4</f>
        <v>0</v>
      </c>
      <c r="J4">
        <f t="shared" ref="J4:J22" si="6">I4-150000</f>
        <v>-150000</v>
      </c>
      <c r="K4" s="84">
        <f t="shared" ref="K4:K22" si="7">IF(J4&lt;0,0,J4)</f>
        <v>0</v>
      </c>
      <c r="L4">
        <f t="shared" ref="L4:L22" si="8">IF(I4&lt;100000,I4,100000)</f>
        <v>0</v>
      </c>
      <c r="M4" s="57">
        <f>'新国保世帯用入力 '!J18</f>
        <v>0</v>
      </c>
      <c r="N4" s="57">
        <f t="shared" ref="N4:N22" si="9">M4-L4</f>
        <v>0</v>
      </c>
      <c r="O4" s="5">
        <f t="shared" ref="O4:O22" si="10">IF(N4&lt;0,0,N4)</f>
        <v>0</v>
      </c>
    </row>
    <row r="5" spans="1:15">
      <c r="A5">
        <v>3</v>
      </c>
      <c r="B5" s="49">
        <f>'新国保世帯用入力 '!K19</f>
        <v>0</v>
      </c>
      <c r="C5" s="1">
        <f xml:space="preserve"> '新国保世帯用入力 '!G19</f>
        <v>0</v>
      </c>
      <c r="D5">
        <f t="shared" si="0"/>
        <v>1</v>
      </c>
      <c r="E5">
        <f t="shared" si="1"/>
        <v>7</v>
      </c>
      <c r="F5">
        <f t="shared" si="2"/>
        <v>1</v>
      </c>
      <c r="G5" s="56">
        <f t="shared" si="3"/>
        <v>0</v>
      </c>
      <c r="H5">
        <f t="shared" si="4"/>
        <v>0</v>
      </c>
      <c r="I5" s="5">
        <f t="shared" si="5"/>
        <v>0</v>
      </c>
      <c r="J5">
        <f t="shared" si="6"/>
        <v>-150000</v>
      </c>
      <c r="K5" s="84">
        <f t="shared" si="7"/>
        <v>0</v>
      </c>
      <c r="L5">
        <f t="shared" si="8"/>
        <v>0</v>
      </c>
      <c r="M5" s="57">
        <f>'新国保世帯用入力 '!J19</f>
        <v>0</v>
      </c>
      <c r="N5" s="57">
        <f t="shared" si="9"/>
        <v>0</v>
      </c>
      <c r="O5" s="5">
        <f t="shared" si="10"/>
        <v>0</v>
      </c>
    </row>
    <row r="6" spans="1:15" ht="7.9" customHeight="1">
      <c r="A6">
        <v>4</v>
      </c>
      <c r="B6" s="49">
        <f>'新国保世帯用入力 '!K20</f>
        <v>0</v>
      </c>
      <c r="C6" s="1">
        <f xml:space="preserve"> '新国保世帯用入力 '!G20</f>
        <v>0</v>
      </c>
      <c r="D6">
        <f t="shared" si="0"/>
        <v>1</v>
      </c>
      <c r="E6">
        <f t="shared" si="1"/>
        <v>7</v>
      </c>
      <c r="F6">
        <f t="shared" si="2"/>
        <v>1</v>
      </c>
      <c r="G6" s="56">
        <f t="shared" si="3"/>
        <v>0</v>
      </c>
      <c r="H6">
        <f t="shared" si="4"/>
        <v>0</v>
      </c>
      <c r="I6" s="5">
        <f t="shared" si="5"/>
        <v>0</v>
      </c>
      <c r="J6">
        <f t="shared" si="6"/>
        <v>-150000</v>
      </c>
      <c r="K6" s="84">
        <f t="shared" si="7"/>
        <v>0</v>
      </c>
      <c r="L6">
        <f t="shared" si="8"/>
        <v>0</v>
      </c>
      <c r="M6" s="57">
        <f>'新国保世帯用入力 '!J20</f>
        <v>0</v>
      </c>
      <c r="N6" s="57">
        <f t="shared" si="9"/>
        <v>0</v>
      </c>
      <c r="O6" s="5">
        <f t="shared" si="10"/>
        <v>0</v>
      </c>
    </row>
    <row r="7" spans="1:15">
      <c r="A7">
        <v>5</v>
      </c>
      <c r="B7" s="49">
        <f>'新国保世帯用入力 '!K21</f>
        <v>0</v>
      </c>
      <c r="C7" s="1">
        <f xml:space="preserve"> '新国保世帯用入力 '!G21</f>
        <v>0</v>
      </c>
      <c r="D7">
        <f t="shared" si="0"/>
        <v>1</v>
      </c>
      <c r="E7">
        <f t="shared" si="1"/>
        <v>7</v>
      </c>
      <c r="F7">
        <f t="shared" si="2"/>
        <v>1</v>
      </c>
      <c r="G7" s="56">
        <f t="shared" si="3"/>
        <v>0</v>
      </c>
      <c r="H7">
        <f t="shared" si="4"/>
        <v>0</v>
      </c>
      <c r="I7" s="5">
        <f t="shared" si="5"/>
        <v>0</v>
      </c>
      <c r="J7">
        <f t="shared" si="6"/>
        <v>-150000</v>
      </c>
      <c r="K7" s="84">
        <f t="shared" si="7"/>
        <v>0</v>
      </c>
      <c r="L7">
        <f t="shared" si="8"/>
        <v>0</v>
      </c>
      <c r="M7" s="57">
        <f>'新国保世帯用入力 '!J21</f>
        <v>0</v>
      </c>
      <c r="N7" s="57">
        <f t="shared" si="9"/>
        <v>0</v>
      </c>
      <c r="O7" s="5">
        <f t="shared" si="10"/>
        <v>0</v>
      </c>
    </row>
    <row r="8" spans="1:15" ht="6.6" customHeight="1">
      <c r="A8">
        <v>6</v>
      </c>
      <c r="B8" s="49">
        <f>'新国保世帯用入力 '!K22</f>
        <v>0</v>
      </c>
      <c r="C8" s="1">
        <f xml:space="preserve"> '新国保世帯用入力 '!G22</f>
        <v>0</v>
      </c>
      <c r="D8">
        <f t="shared" si="0"/>
        <v>1</v>
      </c>
      <c r="E8">
        <f t="shared" si="1"/>
        <v>7</v>
      </c>
      <c r="F8">
        <f t="shared" si="2"/>
        <v>1</v>
      </c>
      <c r="G8" s="56">
        <f t="shared" si="3"/>
        <v>0</v>
      </c>
      <c r="H8">
        <f t="shared" si="4"/>
        <v>0</v>
      </c>
      <c r="I8" s="5">
        <f t="shared" si="5"/>
        <v>0</v>
      </c>
      <c r="J8">
        <f t="shared" si="6"/>
        <v>-150000</v>
      </c>
      <c r="K8" s="84">
        <f t="shared" si="7"/>
        <v>0</v>
      </c>
      <c r="L8">
        <f t="shared" si="8"/>
        <v>0</v>
      </c>
      <c r="M8" s="57">
        <f>'新国保世帯用入力 '!J22</f>
        <v>0</v>
      </c>
      <c r="N8" s="57">
        <f t="shared" si="9"/>
        <v>0</v>
      </c>
      <c r="O8" s="5">
        <f t="shared" si="10"/>
        <v>0</v>
      </c>
    </row>
    <row r="9" spans="1:15">
      <c r="A9">
        <v>7</v>
      </c>
      <c r="B9" s="49">
        <f>'新国保世帯用入力 '!K23</f>
        <v>0</v>
      </c>
      <c r="C9" s="1">
        <f xml:space="preserve"> '新国保世帯用入力 '!G23</f>
        <v>0</v>
      </c>
      <c r="D9">
        <f t="shared" si="0"/>
        <v>1</v>
      </c>
      <c r="E9">
        <f t="shared" si="1"/>
        <v>7</v>
      </c>
      <c r="F9">
        <f t="shared" si="2"/>
        <v>1</v>
      </c>
      <c r="G9" s="56">
        <f t="shared" si="3"/>
        <v>0</v>
      </c>
      <c r="H9">
        <f t="shared" si="4"/>
        <v>0</v>
      </c>
      <c r="I9" s="5">
        <f t="shared" si="5"/>
        <v>0</v>
      </c>
      <c r="J9">
        <f t="shared" si="6"/>
        <v>-150000</v>
      </c>
      <c r="K9" s="84">
        <f t="shared" si="7"/>
        <v>0</v>
      </c>
      <c r="L9">
        <f t="shared" si="8"/>
        <v>0</v>
      </c>
      <c r="M9" s="57">
        <f>'新国保世帯用入力 '!J23</f>
        <v>0</v>
      </c>
      <c r="N9" s="57">
        <f t="shared" si="9"/>
        <v>0</v>
      </c>
      <c r="O9" s="5">
        <f t="shared" si="10"/>
        <v>0</v>
      </c>
    </row>
    <row r="10" spans="1:15" ht="6" customHeight="1">
      <c r="A10">
        <v>8</v>
      </c>
      <c r="B10" s="49">
        <f>'新国保世帯用入力 '!K24</f>
        <v>0</v>
      </c>
      <c r="C10" s="1">
        <f xml:space="preserve"> '新国保世帯用入力 '!G24</f>
        <v>0</v>
      </c>
      <c r="D10">
        <f t="shared" si="0"/>
        <v>1</v>
      </c>
      <c r="E10">
        <f t="shared" si="1"/>
        <v>7</v>
      </c>
      <c r="F10">
        <f t="shared" si="2"/>
        <v>1</v>
      </c>
      <c r="G10" s="56">
        <f t="shared" si="3"/>
        <v>0</v>
      </c>
      <c r="H10">
        <f t="shared" si="4"/>
        <v>0</v>
      </c>
      <c r="I10" s="5">
        <f t="shared" si="5"/>
        <v>0</v>
      </c>
      <c r="J10">
        <f t="shared" si="6"/>
        <v>-150000</v>
      </c>
      <c r="K10" s="84">
        <f t="shared" si="7"/>
        <v>0</v>
      </c>
      <c r="L10">
        <f t="shared" si="8"/>
        <v>0</v>
      </c>
      <c r="M10" s="57">
        <f>'新国保世帯用入力 '!J24</f>
        <v>0</v>
      </c>
      <c r="N10" s="57">
        <f t="shared" si="9"/>
        <v>0</v>
      </c>
      <c r="O10" s="5">
        <f t="shared" si="10"/>
        <v>0</v>
      </c>
    </row>
    <row r="11" spans="1:15">
      <c r="A11">
        <v>9</v>
      </c>
      <c r="B11" s="49">
        <f>'新国保世帯用入力 '!K25</f>
        <v>0</v>
      </c>
      <c r="C11" s="1">
        <f xml:space="preserve"> '新国保世帯用入力 '!G25</f>
        <v>0</v>
      </c>
      <c r="D11">
        <f t="shared" si="0"/>
        <v>1</v>
      </c>
      <c r="E11">
        <f t="shared" si="1"/>
        <v>7</v>
      </c>
      <c r="F11">
        <f t="shared" si="2"/>
        <v>1</v>
      </c>
      <c r="G11" s="56">
        <f t="shared" si="3"/>
        <v>0</v>
      </c>
      <c r="H11">
        <f t="shared" si="4"/>
        <v>0</v>
      </c>
      <c r="I11" s="5">
        <f t="shared" si="5"/>
        <v>0</v>
      </c>
      <c r="J11">
        <f t="shared" si="6"/>
        <v>-150000</v>
      </c>
      <c r="K11" s="84">
        <f t="shared" si="7"/>
        <v>0</v>
      </c>
      <c r="L11">
        <f t="shared" si="8"/>
        <v>0</v>
      </c>
      <c r="M11" s="57">
        <f>'新国保世帯用入力 '!J25</f>
        <v>0</v>
      </c>
      <c r="N11" s="57">
        <f t="shared" si="9"/>
        <v>0</v>
      </c>
      <c r="O11" s="5">
        <f t="shared" si="10"/>
        <v>0</v>
      </c>
    </row>
    <row r="12" spans="1:15" ht="6" customHeight="1">
      <c r="A12">
        <v>10</v>
      </c>
      <c r="B12" s="49">
        <f>'新国保世帯用入力 '!K26</f>
        <v>0</v>
      </c>
      <c r="C12" s="1">
        <f xml:space="preserve"> '新国保世帯用入力 '!G26</f>
        <v>0</v>
      </c>
      <c r="D12">
        <f t="shared" si="0"/>
        <v>1</v>
      </c>
      <c r="E12">
        <f t="shared" si="1"/>
        <v>7</v>
      </c>
      <c r="F12">
        <f t="shared" si="2"/>
        <v>1</v>
      </c>
      <c r="G12" s="56">
        <f t="shared" si="3"/>
        <v>0</v>
      </c>
      <c r="H12">
        <f t="shared" si="4"/>
        <v>0</v>
      </c>
      <c r="I12" s="5">
        <f t="shared" si="5"/>
        <v>0</v>
      </c>
      <c r="J12">
        <f t="shared" si="6"/>
        <v>-150000</v>
      </c>
      <c r="K12" s="84">
        <f t="shared" si="7"/>
        <v>0</v>
      </c>
      <c r="L12">
        <f t="shared" si="8"/>
        <v>0</v>
      </c>
      <c r="M12" s="57">
        <f>'新国保世帯用入力 '!J26</f>
        <v>0</v>
      </c>
      <c r="N12" s="57">
        <f t="shared" si="9"/>
        <v>0</v>
      </c>
      <c r="O12" s="5">
        <f t="shared" si="10"/>
        <v>0</v>
      </c>
    </row>
    <row r="13" spans="1:15">
      <c r="A13">
        <v>11</v>
      </c>
      <c r="B13" s="49">
        <f>'新国保世帯用入力 '!K27</f>
        <v>0</v>
      </c>
      <c r="C13" s="1">
        <f xml:space="preserve"> '新国保世帯用入力 '!G27</f>
        <v>0</v>
      </c>
      <c r="D13">
        <f t="shared" si="0"/>
        <v>1</v>
      </c>
      <c r="E13">
        <f t="shared" si="1"/>
        <v>7</v>
      </c>
      <c r="F13">
        <f t="shared" si="2"/>
        <v>1</v>
      </c>
      <c r="G13" s="56">
        <f t="shared" si="3"/>
        <v>0</v>
      </c>
      <c r="H13">
        <f t="shared" si="4"/>
        <v>0</v>
      </c>
      <c r="I13" s="5">
        <f t="shared" si="5"/>
        <v>0</v>
      </c>
      <c r="J13">
        <f t="shared" si="6"/>
        <v>-150000</v>
      </c>
      <c r="K13" s="84">
        <f t="shared" si="7"/>
        <v>0</v>
      </c>
      <c r="L13">
        <f t="shared" si="8"/>
        <v>0</v>
      </c>
      <c r="M13" s="57">
        <f>'新国保世帯用入力 '!J27</f>
        <v>0</v>
      </c>
      <c r="N13" s="57">
        <f t="shared" si="9"/>
        <v>0</v>
      </c>
      <c r="O13" s="5">
        <f t="shared" si="10"/>
        <v>0</v>
      </c>
    </row>
    <row r="14" spans="1:15" ht="5.45" customHeight="1">
      <c r="A14">
        <v>12</v>
      </c>
      <c r="B14" s="49">
        <f>'新国保世帯用入力 '!K28</f>
        <v>0</v>
      </c>
      <c r="C14" s="1">
        <f xml:space="preserve"> '新国保世帯用入力 '!G28</f>
        <v>0</v>
      </c>
      <c r="D14">
        <f t="shared" si="0"/>
        <v>1</v>
      </c>
      <c r="E14">
        <f t="shared" si="1"/>
        <v>7</v>
      </c>
      <c r="F14">
        <f t="shared" si="2"/>
        <v>1</v>
      </c>
      <c r="G14" s="56">
        <f t="shared" si="3"/>
        <v>0</v>
      </c>
      <c r="H14">
        <f t="shared" si="4"/>
        <v>0</v>
      </c>
      <c r="I14" s="5">
        <f t="shared" si="5"/>
        <v>0</v>
      </c>
      <c r="J14">
        <f t="shared" si="6"/>
        <v>-150000</v>
      </c>
      <c r="K14" s="84">
        <f t="shared" si="7"/>
        <v>0</v>
      </c>
      <c r="L14">
        <f t="shared" si="8"/>
        <v>0</v>
      </c>
      <c r="M14" s="57">
        <f>'新国保世帯用入力 '!J28</f>
        <v>0</v>
      </c>
      <c r="N14" s="57">
        <f t="shared" si="9"/>
        <v>0</v>
      </c>
      <c r="O14" s="5">
        <f t="shared" si="10"/>
        <v>0</v>
      </c>
    </row>
    <row r="15" spans="1:15">
      <c r="A15">
        <v>13</v>
      </c>
      <c r="B15" s="49">
        <f>'新国保世帯用入力 '!K29</f>
        <v>0</v>
      </c>
      <c r="C15" s="1">
        <f xml:space="preserve"> '新国保世帯用入力 '!G29</f>
        <v>0</v>
      </c>
      <c r="D15">
        <f t="shared" si="0"/>
        <v>1</v>
      </c>
      <c r="E15">
        <f t="shared" si="1"/>
        <v>7</v>
      </c>
      <c r="F15">
        <f t="shared" si="2"/>
        <v>1</v>
      </c>
      <c r="G15" s="56">
        <f t="shared" si="3"/>
        <v>0</v>
      </c>
      <c r="H15">
        <f t="shared" si="4"/>
        <v>0</v>
      </c>
      <c r="I15" s="5">
        <f t="shared" si="5"/>
        <v>0</v>
      </c>
      <c r="J15">
        <f t="shared" si="6"/>
        <v>-150000</v>
      </c>
      <c r="K15" s="84">
        <f t="shared" si="7"/>
        <v>0</v>
      </c>
      <c r="L15">
        <f t="shared" si="8"/>
        <v>0</v>
      </c>
      <c r="M15" s="57">
        <f>'新国保世帯用入力 '!J29</f>
        <v>0</v>
      </c>
      <c r="N15" s="57">
        <f t="shared" si="9"/>
        <v>0</v>
      </c>
      <c r="O15" s="5">
        <f t="shared" si="10"/>
        <v>0</v>
      </c>
    </row>
    <row r="16" spans="1:15" ht="5.45" customHeight="1">
      <c r="A16">
        <v>14</v>
      </c>
      <c r="B16" s="49">
        <f>'新国保世帯用入力 '!K30</f>
        <v>0</v>
      </c>
      <c r="C16" s="1">
        <f xml:space="preserve"> '新国保世帯用入力 '!G30</f>
        <v>0</v>
      </c>
      <c r="D16">
        <f t="shared" si="0"/>
        <v>1</v>
      </c>
      <c r="E16">
        <f t="shared" si="1"/>
        <v>7</v>
      </c>
      <c r="F16">
        <f t="shared" si="2"/>
        <v>1</v>
      </c>
      <c r="G16" s="56">
        <f t="shared" si="3"/>
        <v>0</v>
      </c>
      <c r="H16">
        <f t="shared" si="4"/>
        <v>0</v>
      </c>
      <c r="I16" s="5">
        <f t="shared" si="5"/>
        <v>0</v>
      </c>
      <c r="J16">
        <f t="shared" si="6"/>
        <v>-150000</v>
      </c>
      <c r="K16" s="84">
        <f t="shared" si="7"/>
        <v>0</v>
      </c>
      <c r="L16">
        <f t="shared" si="8"/>
        <v>0</v>
      </c>
      <c r="M16" s="57">
        <f>'新国保世帯用入力 '!J30</f>
        <v>0</v>
      </c>
      <c r="N16" s="57">
        <f t="shared" si="9"/>
        <v>0</v>
      </c>
      <c r="O16" s="5">
        <f t="shared" si="10"/>
        <v>0</v>
      </c>
    </row>
    <row r="17" spans="1:15">
      <c r="A17">
        <v>15</v>
      </c>
      <c r="B17" s="49">
        <f>'新国保世帯用入力 '!K31</f>
        <v>0</v>
      </c>
      <c r="C17" s="1">
        <f xml:space="preserve"> '新国保世帯用入力 '!G31</f>
        <v>0</v>
      </c>
      <c r="D17">
        <f t="shared" si="0"/>
        <v>1</v>
      </c>
      <c r="E17">
        <f t="shared" si="1"/>
        <v>7</v>
      </c>
      <c r="F17">
        <f t="shared" si="2"/>
        <v>1</v>
      </c>
      <c r="G17" s="56">
        <f t="shared" si="3"/>
        <v>0</v>
      </c>
      <c r="H17">
        <f t="shared" si="4"/>
        <v>0</v>
      </c>
      <c r="I17" s="5">
        <f t="shared" si="5"/>
        <v>0</v>
      </c>
      <c r="J17">
        <f t="shared" si="6"/>
        <v>-150000</v>
      </c>
      <c r="K17" s="84">
        <f t="shared" si="7"/>
        <v>0</v>
      </c>
      <c r="L17">
        <f t="shared" si="8"/>
        <v>0</v>
      </c>
      <c r="M17" s="57">
        <f>'新国保世帯用入力 '!J31</f>
        <v>0</v>
      </c>
      <c r="N17" s="57">
        <f t="shared" si="9"/>
        <v>0</v>
      </c>
      <c r="O17" s="5">
        <f t="shared" si="10"/>
        <v>0</v>
      </c>
    </row>
    <row r="18" spans="1:15" ht="4.1500000000000004" customHeight="1">
      <c r="A18">
        <v>16</v>
      </c>
      <c r="B18" s="49">
        <f>'新国保世帯用入力 '!K32</f>
        <v>0</v>
      </c>
      <c r="C18" s="1">
        <f xml:space="preserve"> '新国保世帯用入力 '!G32</f>
        <v>0</v>
      </c>
      <c r="D18">
        <f t="shared" si="0"/>
        <v>1</v>
      </c>
      <c r="E18">
        <f t="shared" si="1"/>
        <v>7</v>
      </c>
      <c r="F18">
        <f t="shared" si="2"/>
        <v>1</v>
      </c>
      <c r="G18" s="56">
        <f t="shared" si="3"/>
        <v>0</v>
      </c>
      <c r="H18">
        <f t="shared" si="4"/>
        <v>0</v>
      </c>
      <c r="I18" s="5">
        <f t="shared" si="5"/>
        <v>0</v>
      </c>
      <c r="J18">
        <f t="shared" si="6"/>
        <v>-150000</v>
      </c>
      <c r="K18" s="84">
        <f t="shared" si="7"/>
        <v>0</v>
      </c>
      <c r="L18">
        <f t="shared" si="8"/>
        <v>0</v>
      </c>
      <c r="M18" s="57">
        <f>'新国保世帯用入力 '!J32</f>
        <v>0</v>
      </c>
      <c r="N18" s="57">
        <f t="shared" si="9"/>
        <v>0</v>
      </c>
      <c r="O18" s="5">
        <f t="shared" si="10"/>
        <v>0</v>
      </c>
    </row>
    <row r="19" spans="1:15">
      <c r="A19">
        <v>17</v>
      </c>
      <c r="B19" s="49">
        <f>'新国保世帯用入力 '!K33</f>
        <v>0</v>
      </c>
      <c r="C19" s="1">
        <f xml:space="preserve"> '新国保世帯用入力 '!G33</f>
        <v>0</v>
      </c>
      <c r="D19">
        <f t="shared" si="0"/>
        <v>1</v>
      </c>
      <c r="E19">
        <f t="shared" si="1"/>
        <v>7</v>
      </c>
      <c r="F19">
        <f t="shared" si="2"/>
        <v>1</v>
      </c>
      <c r="G19" s="56">
        <f t="shared" si="3"/>
        <v>0</v>
      </c>
      <c r="H19">
        <f t="shared" si="4"/>
        <v>0</v>
      </c>
      <c r="I19" s="5">
        <f t="shared" si="5"/>
        <v>0</v>
      </c>
      <c r="J19">
        <f t="shared" si="6"/>
        <v>-150000</v>
      </c>
      <c r="K19" s="84">
        <f t="shared" si="7"/>
        <v>0</v>
      </c>
      <c r="L19">
        <f t="shared" si="8"/>
        <v>0</v>
      </c>
      <c r="M19" s="57">
        <f>'新国保世帯用入力 '!J33</f>
        <v>0</v>
      </c>
      <c r="N19" s="57">
        <f t="shared" si="9"/>
        <v>0</v>
      </c>
      <c r="O19" s="5">
        <f t="shared" si="10"/>
        <v>0</v>
      </c>
    </row>
    <row r="20" spans="1:15" ht="3.6" customHeight="1">
      <c r="A20">
        <v>18</v>
      </c>
      <c r="B20" s="49">
        <f>'新国保世帯用入力 '!K34</f>
        <v>0</v>
      </c>
      <c r="C20" s="1">
        <f xml:space="preserve"> '新国保世帯用入力 '!G34</f>
        <v>0</v>
      </c>
      <c r="D20">
        <f t="shared" si="0"/>
        <v>1</v>
      </c>
      <c r="E20">
        <f t="shared" si="1"/>
        <v>7</v>
      </c>
      <c r="F20">
        <f t="shared" si="2"/>
        <v>1</v>
      </c>
      <c r="G20" s="56">
        <f t="shared" si="3"/>
        <v>0</v>
      </c>
      <c r="H20">
        <f t="shared" si="4"/>
        <v>0</v>
      </c>
      <c r="I20" s="5">
        <f t="shared" si="5"/>
        <v>0</v>
      </c>
      <c r="J20">
        <f t="shared" si="6"/>
        <v>-150000</v>
      </c>
      <c r="K20" s="84">
        <f t="shared" si="7"/>
        <v>0</v>
      </c>
      <c r="L20">
        <f t="shared" si="8"/>
        <v>0</v>
      </c>
      <c r="M20" s="57">
        <f>'新国保世帯用入力 '!J34</f>
        <v>0</v>
      </c>
      <c r="N20" s="57">
        <f t="shared" si="9"/>
        <v>0</v>
      </c>
      <c r="O20" s="5">
        <f t="shared" si="10"/>
        <v>0</v>
      </c>
    </row>
    <row r="21" spans="1:15">
      <c r="A21">
        <v>19</v>
      </c>
      <c r="B21" s="49">
        <f>'新国保世帯用入力 '!K35</f>
        <v>0</v>
      </c>
      <c r="C21" s="1">
        <f xml:space="preserve"> '新国保世帯用入力 '!G35</f>
        <v>0</v>
      </c>
      <c r="D21">
        <f t="shared" si="0"/>
        <v>1</v>
      </c>
      <c r="E21">
        <f t="shared" si="1"/>
        <v>7</v>
      </c>
      <c r="F21">
        <f t="shared" si="2"/>
        <v>1</v>
      </c>
      <c r="G21" s="56">
        <f t="shared" si="3"/>
        <v>0</v>
      </c>
      <c r="H21">
        <f t="shared" si="4"/>
        <v>0</v>
      </c>
      <c r="I21" s="5">
        <f t="shared" si="5"/>
        <v>0</v>
      </c>
      <c r="J21">
        <f t="shared" si="6"/>
        <v>-150000</v>
      </c>
      <c r="K21" s="84">
        <f t="shared" si="7"/>
        <v>0</v>
      </c>
      <c r="L21">
        <f t="shared" si="8"/>
        <v>0</v>
      </c>
      <c r="M21" s="57">
        <f>'新国保世帯用入力 '!J35</f>
        <v>0</v>
      </c>
      <c r="N21" s="57">
        <f t="shared" si="9"/>
        <v>0</v>
      </c>
      <c r="O21" s="5">
        <f t="shared" si="10"/>
        <v>0</v>
      </c>
    </row>
    <row r="22" spans="1:15" ht="6" customHeight="1">
      <c r="A22">
        <v>20</v>
      </c>
      <c r="B22" s="49">
        <f>'新国保世帯用入力 '!K36</f>
        <v>0</v>
      </c>
      <c r="C22" s="1">
        <f xml:space="preserve"> '新国保世帯用入力 '!G36</f>
        <v>0</v>
      </c>
      <c r="D22">
        <f t="shared" si="0"/>
        <v>1</v>
      </c>
      <c r="E22">
        <f t="shared" si="1"/>
        <v>7</v>
      </c>
      <c r="F22">
        <f t="shared" si="2"/>
        <v>1</v>
      </c>
      <c r="G22" s="56">
        <f t="shared" si="3"/>
        <v>0</v>
      </c>
      <c r="H22">
        <f t="shared" ref="H22" si="11">VLOOKUP(F22,$C$26:$E$36,3,1)</f>
        <v>0</v>
      </c>
      <c r="I22" s="5">
        <f t="shared" si="5"/>
        <v>0</v>
      </c>
      <c r="J22">
        <f t="shared" si="6"/>
        <v>-150000</v>
      </c>
      <c r="K22" s="84">
        <f t="shared" si="7"/>
        <v>0</v>
      </c>
      <c r="L22">
        <f t="shared" si="8"/>
        <v>0</v>
      </c>
      <c r="M22" s="57">
        <f>'新国保世帯用入力 '!J36</f>
        <v>0</v>
      </c>
      <c r="N22" s="57">
        <f t="shared" si="9"/>
        <v>0</v>
      </c>
      <c r="O22" s="5">
        <f t="shared" si="10"/>
        <v>0</v>
      </c>
    </row>
    <row r="25" spans="1:15">
      <c r="B25" t="s">
        <v>99</v>
      </c>
      <c r="C25" t="s">
        <v>41</v>
      </c>
    </row>
    <row r="26" spans="1:15">
      <c r="A26" s="156" t="s">
        <v>42</v>
      </c>
      <c r="B26" s="157">
        <v>0</v>
      </c>
      <c r="C26" s="158">
        <v>1</v>
      </c>
      <c r="D26" s="159">
        <v>0</v>
      </c>
      <c r="E26" s="160"/>
    </row>
    <row r="27" spans="1:15">
      <c r="A27" s="9"/>
      <c r="B27" s="161">
        <v>600001</v>
      </c>
      <c r="C27">
        <v>2</v>
      </c>
      <c r="D27" s="162">
        <v>1</v>
      </c>
      <c r="E27" s="141">
        <v>600000</v>
      </c>
    </row>
    <row r="28" spans="1:15">
      <c r="A28" s="9"/>
      <c r="B28" s="161">
        <v>1300000</v>
      </c>
      <c r="C28">
        <v>3</v>
      </c>
      <c r="D28" s="162">
        <v>0.75</v>
      </c>
      <c r="E28" s="141">
        <v>275000</v>
      </c>
    </row>
    <row r="29" spans="1:15">
      <c r="A29" s="9"/>
      <c r="B29" s="161">
        <v>4100000</v>
      </c>
      <c r="C29">
        <v>4</v>
      </c>
      <c r="D29" s="162">
        <v>0.85</v>
      </c>
      <c r="E29" s="141">
        <v>685000</v>
      </c>
    </row>
    <row r="30" spans="1:15">
      <c r="A30" s="163"/>
      <c r="B30" s="164">
        <v>7700000</v>
      </c>
      <c r="C30" s="34">
        <v>5</v>
      </c>
      <c r="D30" s="165">
        <v>0.95</v>
      </c>
      <c r="E30" s="166">
        <v>1455000</v>
      </c>
    </row>
    <row r="31" spans="1:15">
      <c r="A31" s="9"/>
      <c r="B31" s="161">
        <v>10000000</v>
      </c>
      <c r="C31">
        <v>6</v>
      </c>
      <c r="D31" s="162">
        <v>1</v>
      </c>
      <c r="E31" s="141">
        <v>1955000</v>
      </c>
    </row>
    <row r="32" spans="1:15">
      <c r="A32" s="156" t="s">
        <v>43</v>
      </c>
      <c r="B32" s="157">
        <v>0</v>
      </c>
      <c r="C32" s="158">
        <v>7</v>
      </c>
      <c r="D32" s="159">
        <v>0</v>
      </c>
      <c r="E32" s="160"/>
    </row>
    <row r="33" spans="1:5">
      <c r="A33" s="9"/>
      <c r="B33" s="161">
        <v>1100001</v>
      </c>
      <c r="C33">
        <v>8</v>
      </c>
      <c r="D33" s="162">
        <v>1</v>
      </c>
      <c r="E33" s="141">
        <v>1100000</v>
      </c>
    </row>
    <row r="34" spans="1:5">
      <c r="A34" s="9"/>
      <c r="B34" s="161">
        <v>3300000</v>
      </c>
      <c r="C34">
        <v>9</v>
      </c>
      <c r="D34" s="162">
        <v>0.75</v>
      </c>
      <c r="E34" s="141">
        <v>275000</v>
      </c>
    </row>
    <row r="35" spans="1:5">
      <c r="A35" s="9"/>
      <c r="B35" s="161">
        <v>4100000</v>
      </c>
      <c r="C35">
        <v>10</v>
      </c>
      <c r="D35" s="162">
        <v>0.85</v>
      </c>
      <c r="E35" s="141">
        <v>685000</v>
      </c>
    </row>
    <row r="36" spans="1:5">
      <c r="A36" s="9"/>
      <c r="B36" s="161">
        <v>7700000</v>
      </c>
      <c r="C36">
        <v>11</v>
      </c>
      <c r="D36" s="162">
        <v>0.95</v>
      </c>
      <c r="E36" s="141">
        <v>1455000</v>
      </c>
    </row>
    <row r="37" spans="1:5">
      <c r="A37" s="167"/>
      <c r="B37" s="168">
        <v>10000000</v>
      </c>
      <c r="C37" s="169">
        <v>12</v>
      </c>
      <c r="D37" s="170">
        <v>1</v>
      </c>
      <c r="E37" s="171">
        <v>1955000</v>
      </c>
    </row>
  </sheetData>
  <phoneticPr fontId="3"/>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新国保世帯用入力 </vt:lpstr>
      <vt:lpstr>リスト</vt:lpstr>
      <vt:lpstr>年金所得への変更用</vt:lpstr>
      <vt:lpstr>A</vt:lpstr>
      <vt:lpstr>B</vt:lpstr>
      <vt:lpstr>D</vt:lpstr>
      <vt:lpstr>E</vt:lpstr>
      <vt:lpstr>F</vt:lpstr>
      <vt:lpstr>G</vt:lpstr>
      <vt:lpstr>H</vt:lpstr>
      <vt:lpstr>'新国保世帯用入力 '!Print_Area</vt:lpstr>
      <vt:lpstr>国保に入らない</vt:lpstr>
      <vt:lpstr>国保加入者</vt:lpstr>
      <vt:lpstr>国保加入者１</vt:lpstr>
    </vt:vector>
  </TitlesOfParts>
  <Company>波佐見町役場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一瀬　若菜</dc:creator>
  <cp:lastModifiedBy>nobuhiro koba</cp:lastModifiedBy>
  <cp:lastPrinted>2023-01-25T01:29:03Z</cp:lastPrinted>
  <dcterms:created xsi:type="dcterms:W3CDTF">2022-12-14T02:21:01Z</dcterms:created>
  <dcterms:modified xsi:type="dcterms:W3CDTF">2025-06-05T03:49:04Z</dcterms:modified>
</cp:coreProperties>
</file>