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5HSM03-IFSV01\userprofile$\wakana-ichinose\Downloads\"/>
    </mc:Choice>
  </mc:AlternateContent>
  <xr:revisionPtr revIDLastSave="0" documentId="13_ncr:1_{D84CEC69-2D8E-4556-A3B4-49F74DE0A527}" xr6:coauthVersionLast="47" xr6:coauthVersionMax="47" xr10:uidLastSave="{00000000-0000-0000-0000-000000000000}"/>
  <bookViews>
    <workbookView xWindow="-108" yWindow="-108" windowWidth="23256" windowHeight="12576" xr2:uid="{00000000-000D-0000-FFFF-FFFF00000000}"/>
  </bookViews>
  <sheets>
    <sheet name="新国保世帯用入力 " sheetId="1" r:id="rId1"/>
    <sheet name="リスト" sheetId="2" r:id="rId2"/>
    <sheet name="年金所得への変更用" sheetId="3" r:id="rId3"/>
  </sheets>
  <definedNames>
    <definedName name="A">リスト!$I$12</definedName>
    <definedName name="B">リスト!$J$12</definedName>
    <definedName name="D">リスト!$M$12:$M$15</definedName>
    <definedName name="E">リスト!$N$12:$N$15</definedName>
    <definedName name="F">リスト!$O$12</definedName>
    <definedName name="G">リスト!$P$12</definedName>
    <definedName name="H">リスト!$L$12:$L$15</definedName>
    <definedName name="I">リスト!$K$12:$K$15</definedName>
    <definedName name="_xlnm.Print_Area" localSheetId="0">'新国保世帯用入力 '!$B$1:$AW$45</definedName>
    <definedName name="国保に入らない">リスト!$D$12:$D$19</definedName>
    <definedName name="国保加入者">リスト!$F$12:$F$18</definedName>
    <definedName name="国保加入者１">リスト!$E$12:$E$18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7" i="1" l="1"/>
  <c r="AH17" i="1"/>
  <c r="AA17" i="1"/>
  <c r="AV35" i="1"/>
  <c r="AV33" i="1"/>
  <c r="AV31" i="1"/>
  <c r="AV29" i="1"/>
  <c r="AV27" i="1"/>
  <c r="AV25" i="1"/>
  <c r="AV23" i="1"/>
  <c r="AV21" i="1"/>
  <c r="AV19" i="1"/>
  <c r="AU35" i="1"/>
  <c r="AU31" i="1"/>
  <c r="AQ35" i="1"/>
  <c r="AQ33" i="1"/>
  <c r="AQ31" i="1"/>
  <c r="AQ29" i="1"/>
  <c r="AN35" i="1"/>
  <c r="AN33" i="1"/>
  <c r="AN31" i="1"/>
  <c r="AN29" i="1"/>
  <c r="AN27" i="1"/>
  <c r="AN25" i="1"/>
  <c r="AN23" i="1"/>
  <c r="AN21" i="1"/>
  <c r="AN19" i="1"/>
  <c r="AN17" i="1"/>
  <c r="AG35" i="1"/>
  <c r="AG31" i="1"/>
  <c r="AC35" i="1"/>
  <c r="AC33" i="1"/>
  <c r="AC31" i="1"/>
  <c r="Z35" i="1"/>
  <c r="Z31" i="1"/>
  <c r="V35" i="1"/>
  <c r="V33" i="1"/>
  <c r="V31" i="1"/>
  <c r="AU40" i="1"/>
  <c r="AH31" i="1"/>
  <c r="AE31" i="1" s="1"/>
  <c r="AH35" i="1"/>
  <c r="AE35" i="1" s="1"/>
  <c r="AS15" i="1"/>
  <c r="AQ15" i="1"/>
  <c r="J14" i="3"/>
  <c r="J22" i="3"/>
  <c r="L35" i="1"/>
  <c r="L33" i="1"/>
  <c r="L31" i="1"/>
  <c r="L29" i="1"/>
  <c r="L27" i="1"/>
  <c r="L25" i="1"/>
  <c r="L23" i="1"/>
  <c r="L21" i="1"/>
  <c r="L19" i="1"/>
  <c r="L17" i="1"/>
  <c r="AS43" i="1"/>
  <c r="F4" i="2"/>
  <c r="D19" i="1"/>
  <c r="D21" i="1"/>
  <c r="D23" i="1"/>
  <c r="D25" i="1"/>
  <c r="D27" i="1"/>
  <c r="D29" i="1"/>
  <c r="D31" i="1"/>
  <c r="D33" i="1"/>
  <c r="D35" i="1"/>
  <c r="AL43" i="1"/>
  <c r="AE43" i="1"/>
  <c r="X43" i="1"/>
  <c r="L43" i="1"/>
  <c r="L44" i="1"/>
  <c r="L42" i="1"/>
  <c r="M42" i="1"/>
  <c r="M44" i="1"/>
  <c r="M43" i="1"/>
  <c r="N44" i="1"/>
  <c r="N43" i="1"/>
  <c r="AU25" i="1" l="1"/>
  <c r="AG25" i="1"/>
  <c r="Z25" i="1"/>
  <c r="AU33" i="1"/>
  <c r="AG33" i="1"/>
  <c r="Z33" i="1"/>
  <c r="AU29" i="1"/>
  <c r="AG29" i="1"/>
  <c r="Z29" i="1"/>
  <c r="AU27" i="1"/>
  <c r="AG27" i="1"/>
  <c r="Z27" i="1"/>
  <c r="AU23" i="1"/>
  <c r="AG23" i="1"/>
  <c r="Z23" i="1"/>
  <c r="AU21" i="1"/>
  <c r="AG21" i="1"/>
  <c r="Z21" i="1"/>
  <c r="AU19" i="1"/>
  <c r="AG19" i="1"/>
  <c r="Z19" i="1"/>
  <c r="AU17" i="1"/>
  <c r="AS17" i="1" s="1"/>
  <c r="AG17" i="1"/>
  <c r="Z17" i="1"/>
  <c r="AA31" i="1"/>
  <c r="P40" i="1" l="1"/>
  <c r="F10" i="1"/>
  <c r="AJ40" i="1" l="1"/>
  <c r="AO33" i="1"/>
  <c r="AJ33" i="1" s="1"/>
  <c r="AO35" i="1"/>
  <c r="AJ35" i="1" s="1"/>
  <c r="AO27" i="1"/>
  <c r="AJ27" i="1" s="1"/>
  <c r="AO23" i="1"/>
  <c r="AJ23" i="1" s="1"/>
  <c r="AO31" i="1"/>
  <c r="AJ31" i="1" s="1"/>
  <c r="AA35" i="1"/>
  <c r="AN40" i="1"/>
  <c r="AG40" i="1"/>
  <c r="Z40" i="1"/>
  <c r="AL15" i="1"/>
  <c r="AE15" i="1"/>
  <c r="X15" i="1"/>
  <c r="AJ15" i="1"/>
  <c r="AC15" i="1"/>
  <c r="V15" i="1"/>
  <c r="X35" i="1" l="1"/>
  <c r="B4" i="3"/>
  <c r="D4" i="3" s="1"/>
  <c r="B5" i="3"/>
  <c r="B6" i="3"/>
  <c r="D6" i="3" s="1"/>
  <c r="B7" i="3"/>
  <c r="D7" i="3" s="1"/>
  <c r="B8" i="3"/>
  <c r="D8" i="3" s="1"/>
  <c r="R36" i="1"/>
  <c r="D5" i="3" l="1"/>
  <c r="X31" i="1"/>
  <c r="M4" i="3"/>
  <c r="M5" i="3"/>
  <c r="M6" i="3"/>
  <c r="M7" i="3"/>
  <c r="M8" i="3"/>
  <c r="M9" i="3"/>
  <c r="M10" i="3"/>
  <c r="M11" i="3"/>
  <c r="M12" i="3"/>
  <c r="M13" i="3"/>
  <c r="M14" i="3"/>
  <c r="M15" i="3"/>
  <c r="M16" i="3"/>
  <c r="M17" i="3"/>
  <c r="M18" i="3"/>
  <c r="M19" i="3"/>
  <c r="M20" i="3"/>
  <c r="M21" i="3"/>
  <c r="M22" i="3"/>
  <c r="M3" i="3"/>
  <c r="B12" i="3"/>
  <c r="D12" i="3" s="1"/>
  <c r="B13" i="3"/>
  <c r="D13" i="3" s="1"/>
  <c r="E5" i="3"/>
  <c r="E7" i="3"/>
  <c r="E4" i="3"/>
  <c r="E6" i="3"/>
  <c r="B9" i="3"/>
  <c r="B10" i="3"/>
  <c r="D10" i="3" s="1"/>
  <c r="B11" i="3"/>
  <c r="D11" i="3" s="1"/>
  <c r="B14" i="3"/>
  <c r="D14" i="3" s="1"/>
  <c r="B15" i="3"/>
  <c r="B16" i="3"/>
  <c r="B17" i="3"/>
  <c r="B18" i="3"/>
  <c r="B19" i="3"/>
  <c r="D19" i="3" s="1"/>
  <c r="B20" i="3"/>
  <c r="D20" i="3" s="1"/>
  <c r="B21" i="3"/>
  <c r="D21" i="3" s="1"/>
  <c r="B22" i="3"/>
  <c r="B3" i="3"/>
  <c r="C4" i="3"/>
  <c r="C5" i="3"/>
  <c r="C6" i="3"/>
  <c r="C7" i="3"/>
  <c r="C8" i="3"/>
  <c r="C9" i="3"/>
  <c r="C10" i="3"/>
  <c r="C11" i="3"/>
  <c r="C12" i="3"/>
  <c r="C13" i="3"/>
  <c r="C14" i="3"/>
  <c r="C15" i="3"/>
  <c r="C16" i="3"/>
  <c r="C17" i="3"/>
  <c r="C18" i="3"/>
  <c r="C19" i="3"/>
  <c r="C20" i="3"/>
  <c r="C21" i="3"/>
  <c r="C22" i="3"/>
  <c r="C3" i="3"/>
  <c r="N35" i="1"/>
  <c r="N33" i="1"/>
  <c r="N31" i="1"/>
  <c r="N29" i="1"/>
  <c r="N27" i="1"/>
  <c r="N25" i="1"/>
  <c r="N23" i="1"/>
  <c r="N21" i="1"/>
  <c r="N19" i="1"/>
  <c r="D15" i="3" l="1"/>
  <c r="F15" i="3" s="1"/>
  <c r="E18" i="3"/>
  <c r="D18" i="3"/>
  <c r="E17" i="3"/>
  <c r="D17" i="3"/>
  <c r="E9" i="3"/>
  <c r="D9" i="3"/>
  <c r="F9" i="3" s="1"/>
  <c r="E16" i="3"/>
  <c r="D16" i="3"/>
  <c r="F16" i="3" s="1"/>
  <c r="E3" i="3"/>
  <c r="F3" i="3" s="1"/>
  <c r="D3" i="3"/>
  <c r="E22" i="3"/>
  <c r="D22" i="3"/>
  <c r="F22" i="3" s="1"/>
  <c r="F7" i="3"/>
  <c r="H7" i="3" s="1"/>
  <c r="F5" i="3"/>
  <c r="G5" i="3" s="1"/>
  <c r="F19" i="3"/>
  <c r="G19" i="3" s="1"/>
  <c r="F11" i="3"/>
  <c r="G11" i="3" s="1"/>
  <c r="F10" i="3"/>
  <c r="H10" i="3" s="1"/>
  <c r="F21" i="3"/>
  <c r="H21" i="3" s="1"/>
  <c r="F12" i="3"/>
  <c r="H12" i="3" s="1"/>
  <c r="E15" i="3"/>
  <c r="H15" i="3" s="1"/>
  <c r="F8" i="3"/>
  <c r="G8" i="3" s="1"/>
  <c r="F4" i="3"/>
  <c r="G4" i="3" s="1"/>
  <c r="E14" i="3"/>
  <c r="F20" i="3"/>
  <c r="G20" i="3" s="1"/>
  <c r="F6" i="3"/>
  <c r="G6" i="3" s="1"/>
  <c r="F14" i="3"/>
  <c r="G7" i="3"/>
  <c r="I7" i="3" s="1"/>
  <c r="J7" i="3" s="1"/>
  <c r="K7" i="3" s="1"/>
  <c r="Q21" i="1" s="1"/>
  <c r="F17" i="3"/>
  <c r="F18" i="3"/>
  <c r="H19" i="3"/>
  <c r="I19" i="3" s="1"/>
  <c r="J19" i="3" s="1"/>
  <c r="K19" i="3" s="1"/>
  <c r="Q33" i="1" s="1"/>
  <c r="E11" i="3"/>
  <c r="E10" i="3"/>
  <c r="E20" i="3"/>
  <c r="E8" i="3"/>
  <c r="E13" i="3"/>
  <c r="F13" i="3" s="1"/>
  <c r="G13" i="3" s="1"/>
  <c r="E21" i="3"/>
  <c r="E19" i="3"/>
  <c r="E12" i="3"/>
  <c r="G3" i="3" l="1"/>
  <c r="H3" i="3"/>
  <c r="H5" i="3"/>
  <c r="I5" i="3" s="1"/>
  <c r="J5" i="3" s="1"/>
  <c r="G10" i="3"/>
  <c r="G21" i="3"/>
  <c r="H11" i="3"/>
  <c r="I11" i="3" s="1"/>
  <c r="J11" i="3" s="1"/>
  <c r="K11" i="3" s="1"/>
  <c r="Q25" i="1" s="1"/>
  <c r="H13" i="3"/>
  <c r="I13" i="3" s="1"/>
  <c r="I10" i="3"/>
  <c r="J10" i="3" s="1"/>
  <c r="K10" i="3" s="1"/>
  <c r="Q24" i="1" s="1"/>
  <c r="I3" i="3"/>
  <c r="J3" i="3" s="1"/>
  <c r="K3" i="3" s="1"/>
  <c r="Q17" i="1" s="1"/>
  <c r="I21" i="3"/>
  <c r="J21" i="3" s="1"/>
  <c r="K21" i="3" s="1"/>
  <c r="Q35" i="1" s="1"/>
  <c r="H8" i="3"/>
  <c r="I8" i="3" s="1"/>
  <c r="J8" i="3" s="1"/>
  <c r="K8" i="3" s="1"/>
  <c r="Q22" i="1" s="1"/>
  <c r="L21" i="3"/>
  <c r="N21" i="3" s="1"/>
  <c r="O21" i="3" s="1"/>
  <c r="M35" i="1" s="1"/>
  <c r="O35" i="1" s="1"/>
  <c r="P35" i="1"/>
  <c r="R35" i="1" s="1"/>
  <c r="L19" i="3"/>
  <c r="N19" i="3" s="1"/>
  <c r="O19" i="3" s="1"/>
  <c r="M33" i="1" s="1"/>
  <c r="O33" i="1" s="1"/>
  <c r="P33" i="1"/>
  <c r="R33" i="1" s="1"/>
  <c r="P21" i="1"/>
  <c r="R21" i="1" s="1"/>
  <c r="L7" i="3"/>
  <c r="N7" i="3" s="1"/>
  <c r="O7" i="3" s="1"/>
  <c r="M21" i="1" s="1"/>
  <c r="O21" i="1" s="1"/>
  <c r="T21" i="1" s="1"/>
  <c r="H20" i="3"/>
  <c r="I20" i="3" s="1"/>
  <c r="J20" i="3" s="1"/>
  <c r="K20" i="3" s="1"/>
  <c r="Q34" i="1" s="1"/>
  <c r="H6" i="3"/>
  <c r="I6" i="3" s="1"/>
  <c r="J6" i="3" s="1"/>
  <c r="K6" i="3" s="1"/>
  <c r="Q20" i="1" s="1"/>
  <c r="H4" i="3"/>
  <c r="I4" i="3" s="1"/>
  <c r="J4" i="3" s="1"/>
  <c r="K4" i="3" s="1"/>
  <c r="Q18" i="1" s="1"/>
  <c r="G15" i="3"/>
  <c r="I15" i="3" s="1"/>
  <c r="J15" i="3" s="1"/>
  <c r="K15" i="3" s="1"/>
  <c r="Q29" i="1" s="1"/>
  <c r="G12" i="3"/>
  <c r="I12" i="3" s="1"/>
  <c r="J12" i="3" s="1"/>
  <c r="K12" i="3" s="1"/>
  <c r="Q26" i="1" s="1"/>
  <c r="G22" i="3"/>
  <c r="H22" i="3"/>
  <c r="G16" i="3"/>
  <c r="H16" i="3"/>
  <c r="G9" i="3"/>
  <c r="H9" i="3"/>
  <c r="G14" i="3"/>
  <c r="H14" i="3"/>
  <c r="G17" i="3"/>
  <c r="H17" i="3"/>
  <c r="G18" i="3"/>
  <c r="H18" i="3"/>
  <c r="L13" i="3" l="1"/>
  <c r="J13" i="3"/>
  <c r="K13" i="3" s="1"/>
  <c r="Q27" i="1" s="1"/>
  <c r="AQ21" i="1"/>
  <c r="AC21" i="1"/>
  <c r="V21" i="1"/>
  <c r="P19" i="1"/>
  <c r="R19" i="1" s="1"/>
  <c r="L5" i="3"/>
  <c r="N5" i="3" s="1"/>
  <c r="O5" i="3" s="1"/>
  <c r="M19" i="1" s="1"/>
  <c r="O19" i="1" s="1"/>
  <c r="K5" i="3"/>
  <c r="Q19" i="1" s="1"/>
  <c r="T19" i="1"/>
  <c r="T35" i="1"/>
  <c r="T33" i="1"/>
  <c r="L10" i="3"/>
  <c r="N10" i="3" s="1"/>
  <c r="O10" i="3" s="1"/>
  <c r="M24" i="1" s="1"/>
  <c r="O24" i="1" s="1"/>
  <c r="N13" i="3"/>
  <c r="O13" i="3" s="1"/>
  <c r="M27" i="1" s="1"/>
  <c r="O27" i="1" s="1"/>
  <c r="P24" i="1"/>
  <c r="R24" i="1" s="1"/>
  <c r="P22" i="1"/>
  <c r="R22" i="1" s="1"/>
  <c r="P27" i="1"/>
  <c r="R27" i="1" s="1"/>
  <c r="L8" i="3"/>
  <c r="N8" i="3" s="1"/>
  <c r="O8" i="3" s="1"/>
  <c r="M22" i="1" s="1"/>
  <c r="O22" i="1" s="1"/>
  <c r="T22" i="1" s="1"/>
  <c r="I9" i="3"/>
  <c r="J9" i="3" s="1"/>
  <c r="K9" i="3" s="1"/>
  <c r="Q23" i="1" s="1"/>
  <c r="P18" i="1"/>
  <c r="R18" i="1" s="1"/>
  <c r="L4" i="3"/>
  <c r="N4" i="3" s="1"/>
  <c r="O4" i="3" s="1"/>
  <c r="M18" i="1" s="1"/>
  <c r="O18" i="1" s="1"/>
  <c r="T18" i="1" s="1"/>
  <c r="L6" i="3"/>
  <c r="N6" i="3" s="1"/>
  <c r="O6" i="3" s="1"/>
  <c r="M20" i="1" s="1"/>
  <c r="O20" i="1" s="1"/>
  <c r="P20" i="1"/>
  <c r="R20" i="1" s="1"/>
  <c r="L20" i="3"/>
  <c r="N20" i="3" s="1"/>
  <c r="O20" i="3" s="1"/>
  <c r="M34" i="1" s="1"/>
  <c r="O34" i="1" s="1"/>
  <c r="P34" i="1"/>
  <c r="R34" i="1" s="1"/>
  <c r="P26" i="1"/>
  <c r="R26" i="1" s="1"/>
  <c r="L12" i="3"/>
  <c r="N12" i="3" s="1"/>
  <c r="O12" i="3" s="1"/>
  <c r="M26" i="1" s="1"/>
  <c r="O26" i="1" s="1"/>
  <c r="T26" i="1" s="1"/>
  <c r="L15" i="3"/>
  <c r="N15" i="3" s="1"/>
  <c r="O15" i="3" s="1"/>
  <c r="M29" i="1" s="1"/>
  <c r="O29" i="1" s="1"/>
  <c r="P29" i="1"/>
  <c r="R29" i="1" s="1"/>
  <c r="L3" i="3"/>
  <c r="N3" i="3" s="1"/>
  <c r="O3" i="3" s="1"/>
  <c r="M17" i="1" s="1"/>
  <c r="P17" i="1"/>
  <c r="R17" i="1" s="1"/>
  <c r="S33" i="1"/>
  <c r="P25" i="1"/>
  <c r="R25" i="1" s="1"/>
  <c r="L11" i="3"/>
  <c r="N11" i="3" s="1"/>
  <c r="O11" i="3" s="1"/>
  <c r="M25" i="1" s="1"/>
  <c r="O25" i="1" s="1"/>
  <c r="T25" i="1" s="1"/>
  <c r="S35" i="1"/>
  <c r="S21" i="1"/>
  <c r="S19" i="1"/>
  <c r="I22" i="3"/>
  <c r="I18" i="3"/>
  <c r="J18" i="3" s="1"/>
  <c r="K18" i="3" s="1"/>
  <c r="Q32" i="1" s="1"/>
  <c r="I14" i="3"/>
  <c r="K14" i="3" s="1"/>
  <c r="Q28" i="1" s="1"/>
  <c r="I16" i="3"/>
  <c r="J16" i="3" s="1"/>
  <c r="K16" i="3" s="1"/>
  <c r="Q30" i="1" s="1"/>
  <c r="I17" i="3"/>
  <c r="J17" i="3" s="1"/>
  <c r="K17" i="3" s="1"/>
  <c r="Q31" i="1" s="1"/>
  <c r="V19" i="1" l="1"/>
  <c r="AQ19" i="1"/>
  <c r="AC19" i="1"/>
  <c r="AQ25" i="1"/>
  <c r="AC25" i="1"/>
  <c r="V25" i="1"/>
  <c r="T20" i="1"/>
  <c r="S27" i="1"/>
  <c r="T27" i="1"/>
  <c r="T24" i="1"/>
  <c r="T29" i="1"/>
  <c r="T34" i="1"/>
  <c r="P23" i="1"/>
  <c r="R23" i="1" s="1"/>
  <c r="L9" i="3"/>
  <c r="N9" i="3" s="1"/>
  <c r="O9" i="3" s="1"/>
  <c r="M23" i="1" s="1"/>
  <c r="O23" i="1" s="1"/>
  <c r="L22" i="3"/>
  <c r="N22" i="3" s="1"/>
  <c r="O22" i="3" s="1"/>
  <c r="K22" i="3"/>
  <c r="L17" i="3"/>
  <c r="N17" i="3" s="1"/>
  <c r="O17" i="3" s="1"/>
  <c r="M31" i="1" s="1"/>
  <c r="O31" i="1" s="1"/>
  <c r="P31" i="1"/>
  <c r="R31" i="1" s="1"/>
  <c r="L16" i="3"/>
  <c r="N16" i="3" s="1"/>
  <c r="O16" i="3" s="1"/>
  <c r="M30" i="1" s="1"/>
  <c r="O30" i="1" s="1"/>
  <c r="P30" i="1"/>
  <c r="R30" i="1" s="1"/>
  <c r="S25" i="1"/>
  <c r="S29" i="1"/>
  <c r="L14" i="3"/>
  <c r="N14" i="3" s="1"/>
  <c r="O14" i="3" s="1"/>
  <c r="M28" i="1" s="1"/>
  <c r="O28" i="1" s="1"/>
  <c r="P28" i="1"/>
  <c r="R28" i="1" s="1"/>
  <c r="L18" i="3"/>
  <c r="N18" i="3" s="1"/>
  <c r="O18" i="3" s="1"/>
  <c r="M32" i="1" s="1"/>
  <c r="O32" i="1" s="1"/>
  <c r="P32" i="1"/>
  <c r="R32" i="1" s="1"/>
  <c r="AQ27" i="1" l="1"/>
  <c r="AC27" i="1"/>
  <c r="V27" i="1"/>
  <c r="R37" i="1"/>
  <c r="AC29" i="1"/>
  <c r="V29" i="1"/>
  <c r="Q44" i="1"/>
  <c r="Q43" i="1"/>
  <c r="Q42" i="1"/>
  <c r="T32" i="1"/>
  <c r="T31" i="1"/>
  <c r="T28" i="1"/>
  <c r="S23" i="1"/>
  <c r="T23" i="1"/>
  <c r="T30" i="1"/>
  <c r="R44" i="1"/>
  <c r="R45" i="1"/>
  <c r="R43" i="1"/>
  <c r="S31" i="1"/>
  <c r="N17" i="1"/>
  <c r="O17" i="1" s="1"/>
  <c r="AQ23" i="1" l="1"/>
  <c r="AC23" i="1"/>
  <c r="V23" i="1"/>
  <c r="S17" i="1"/>
  <c r="T17" i="1"/>
  <c r="AQ17" i="1" s="1"/>
  <c r="S38" i="1"/>
  <c r="G10" i="1" s="1"/>
  <c r="AH27" i="1" l="1"/>
  <c r="AE27" i="1" s="1"/>
  <c r="S40" i="1"/>
  <c r="AO29" i="1"/>
  <c r="AJ29" i="1" s="1"/>
  <c r="AA33" i="1"/>
  <c r="X33" i="1" s="1"/>
  <c r="AQ40" i="1"/>
  <c r="V17" i="1" l="1"/>
  <c r="AS27" i="1"/>
  <c r="AS35" i="1"/>
  <c r="AS33" i="1"/>
  <c r="AS31" i="1"/>
  <c r="AS29" i="1"/>
  <c r="AS25" i="1"/>
  <c r="AS23" i="1"/>
  <c r="AS21" i="1"/>
  <c r="AH21" i="1"/>
  <c r="AE21" i="1" s="1"/>
  <c r="AH23" i="1"/>
  <c r="AE23" i="1" s="1"/>
  <c r="AH25" i="1"/>
  <c r="AE25" i="1" s="1"/>
  <c r="AH29" i="1"/>
  <c r="AE29" i="1" s="1"/>
  <c r="AH33" i="1"/>
  <c r="AE33" i="1" s="1"/>
  <c r="AH19" i="1"/>
  <c r="AS19" i="1"/>
  <c r="AA40" i="1"/>
  <c r="Z38" i="1" s="1"/>
  <c r="AA19" i="1"/>
  <c r="AA29" i="1"/>
  <c r="AO19" i="1"/>
  <c r="AV40" i="1"/>
  <c r="AU38" i="1" s="1"/>
  <c r="AH40" i="1"/>
  <c r="AO40" i="1"/>
  <c r="AS38" i="1"/>
  <c r="AQ38" i="1"/>
  <c r="AQ43" i="1" s="1"/>
  <c r="AU43" i="1" s="1"/>
  <c r="AO21" i="1"/>
  <c r="AA27" i="1"/>
  <c r="X27" i="1" s="1"/>
  <c r="AA21" i="1"/>
  <c r="X21" i="1" s="1"/>
  <c r="AO25" i="1"/>
  <c r="AJ25" i="1" s="1"/>
  <c r="AA23" i="1"/>
  <c r="X23" i="1" s="1"/>
  <c r="AA25" i="1"/>
  <c r="X25" i="1" s="1"/>
  <c r="AO17" i="1"/>
  <c r="AJ17" i="1" s="1"/>
  <c r="X19" i="1"/>
  <c r="AC17" i="1"/>
  <c r="AE19" i="1"/>
  <c r="X29" i="1"/>
  <c r="AG38" i="1"/>
  <c r="AN38" i="1"/>
  <c r="AL19" i="1" l="1"/>
  <c r="AJ19" i="1"/>
  <c r="AL21" i="1"/>
  <c r="AL23" i="1" s="1"/>
  <c r="AJ21" i="1"/>
  <c r="AL25" i="1"/>
  <c r="AL27" i="1" s="1"/>
  <c r="AL29" i="1" s="1"/>
  <c r="AL31" i="1" s="1"/>
  <c r="AL33" i="1" s="1"/>
  <c r="AL35" i="1" s="1"/>
  <c r="AE17" i="1"/>
  <c r="AE38" i="1" s="1"/>
  <c r="AC38" i="1"/>
  <c r="AC43" i="1" s="1"/>
  <c r="AL17" i="1"/>
  <c r="AL38" i="1" s="1"/>
  <c r="AJ38" i="1"/>
  <c r="AJ43" i="1" s="1"/>
  <c r="X17" i="1"/>
  <c r="X38" i="1" s="1"/>
  <c r="V38" i="1"/>
  <c r="AG43" i="1" l="1"/>
  <c r="AN43" i="1"/>
  <c r="V43" i="1"/>
  <c r="Z43" i="1" l="1"/>
  <c r="F4" i="1" s="1"/>
  <c r="V4" i="1" l="1"/>
  <c r="V10" i="1"/>
  <c r="V7" i="1"/>
</calcChain>
</file>

<file path=xl/sharedStrings.xml><?xml version="1.0" encoding="utf-8"?>
<sst xmlns="http://schemas.openxmlformats.org/spreadsheetml/2006/main" count="241" uniqueCount="125">
  <si>
    <t>世帯主</t>
    <rPh sb="0" eb="3">
      <t>セタイヌシ</t>
    </rPh>
    <phoneticPr fontId="3"/>
  </si>
  <si>
    <t>国保加入者</t>
    <rPh sb="0" eb="2">
      <t>コクホ</t>
    </rPh>
    <rPh sb="2" eb="5">
      <t>カニュウシャ</t>
    </rPh>
    <phoneticPr fontId="3"/>
  </si>
  <si>
    <t>年齢</t>
    <rPh sb="0" eb="2">
      <t>ネンレイ</t>
    </rPh>
    <phoneticPr fontId="3"/>
  </si>
  <si>
    <t>非自発的失業者</t>
    <rPh sb="0" eb="1">
      <t>ヒ</t>
    </rPh>
    <rPh sb="1" eb="4">
      <t>ジハツテキ</t>
    </rPh>
    <rPh sb="4" eb="7">
      <t>シツギョウシャ</t>
    </rPh>
    <phoneticPr fontId="3"/>
  </si>
  <si>
    <t>40～64歳</t>
    <rPh sb="5" eb="6">
      <t>サイ</t>
    </rPh>
    <phoneticPr fontId="3"/>
  </si>
  <si>
    <t>65～74歳</t>
    <rPh sb="5" eb="6">
      <t>サイ</t>
    </rPh>
    <phoneticPr fontId="3"/>
  </si>
  <si>
    <t>75歳～</t>
    <rPh sb="2" eb="3">
      <t>サイ</t>
    </rPh>
    <phoneticPr fontId="3"/>
  </si>
  <si>
    <t>減免用確認</t>
    <rPh sb="0" eb="2">
      <t>ゲンメン</t>
    </rPh>
    <rPh sb="2" eb="3">
      <t>ヨウ</t>
    </rPh>
    <rPh sb="3" eb="5">
      <t>カクニン</t>
    </rPh>
    <phoneticPr fontId="3"/>
  </si>
  <si>
    <t>月額相当</t>
    <rPh sb="0" eb="2">
      <t>ゲツガク</t>
    </rPh>
    <rPh sb="2" eb="4">
      <t>ソウトウ</t>
    </rPh>
    <phoneticPr fontId="3"/>
  </si>
  <si>
    <t>後期支援分</t>
    <rPh sb="0" eb="2">
      <t>コウキ</t>
    </rPh>
    <rPh sb="2" eb="4">
      <t>シエン</t>
    </rPh>
    <rPh sb="4" eb="5">
      <t>ブン</t>
    </rPh>
    <phoneticPr fontId="3"/>
  </si>
  <si>
    <t>医療分</t>
    <rPh sb="0" eb="2">
      <t>イリョウ</t>
    </rPh>
    <rPh sb="2" eb="3">
      <t>ブン</t>
    </rPh>
    <phoneticPr fontId="3"/>
  </si>
  <si>
    <t>均等割</t>
    <rPh sb="0" eb="3">
      <t>キントウワ</t>
    </rPh>
    <phoneticPr fontId="3"/>
  </si>
  <si>
    <t>平等割</t>
    <rPh sb="0" eb="2">
      <t>ビョウドウ</t>
    </rPh>
    <rPh sb="2" eb="3">
      <t>ワリ</t>
    </rPh>
    <phoneticPr fontId="3"/>
  </si>
  <si>
    <t>所得割</t>
    <rPh sb="0" eb="2">
      <t>ショトク</t>
    </rPh>
    <rPh sb="2" eb="3">
      <t>ワリ</t>
    </rPh>
    <phoneticPr fontId="3"/>
  </si>
  <si>
    <t>加入者人数</t>
    <rPh sb="0" eb="3">
      <t>カニュウシャ</t>
    </rPh>
    <rPh sb="3" eb="5">
      <t>ニンズウ</t>
    </rPh>
    <phoneticPr fontId="3"/>
  </si>
  <si>
    <t>給与（年金があるときの特例控除後）</t>
    <rPh sb="0" eb="2">
      <t>キュウヨ</t>
    </rPh>
    <rPh sb="3" eb="5">
      <t>ネンキン</t>
    </rPh>
    <rPh sb="11" eb="13">
      <t>トクレイ</t>
    </rPh>
    <rPh sb="13" eb="15">
      <t>コウジョ</t>
    </rPh>
    <rPh sb="15" eb="16">
      <t>ゴ</t>
    </rPh>
    <phoneticPr fontId="3"/>
  </si>
  <si>
    <t>軽減計算用合計所得</t>
    <rPh sb="0" eb="2">
      <t>ケイゲン</t>
    </rPh>
    <rPh sb="2" eb="4">
      <t>ケイサン</t>
    </rPh>
    <rPh sb="4" eb="5">
      <t>ヨウ</t>
    </rPh>
    <rPh sb="5" eb="7">
      <t>ゴウケイ</t>
    </rPh>
    <rPh sb="7" eb="9">
      <t>ショトク</t>
    </rPh>
    <phoneticPr fontId="3"/>
  </si>
  <si>
    <t>保険料計算用所得</t>
    <rPh sb="0" eb="2">
      <t>ホケン</t>
    </rPh>
    <rPh sb="2" eb="3">
      <t>リョウ</t>
    </rPh>
    <rPh sb="3" eb="5">
      <t>ケイサン</t>
    </rPh>
    <rPh sb="5" eb="6">
      <t>ヨウ</t>
    </rPh>
    <rPh sb="6" eb="8">
      <t>ショトク</t>
    </rPh>
    <phoneticPr fontId="3"/>
  </si>
  <si>
    <t>介護分</t>
    <rPh sb="0" eb="2">
      <t>カイゴ</t>
    </rPh>
    <rPh sb="2" eb="3">
      <t>ブン</t>
    </rPh>
    <phoneticPr fontId="3"/>
  </si>
  <si>
    <t>均等割</t>
    <rPh sb="0" eb="3">
      <t>キントウワリ</t>
    </rPh>
    <phoneticPr fontId="3"/>
  </si>
  <si>
    <t>上限</t>
    <rPh sb="0" eb="2">
      <t>ジョウゲン</t>
    </rPh>
    <phoneticPr fontId="3"/>
  </si>
  <si>
    <t>所得割合計</t>
    <rPh sb="0" eb="2">
      <t>ショトク</t>
    </rPh>
    <rPh sb="2" eb="3">
      <t>ワリ</t>
    </rPh>
    <rPh sb="3" eb="5">
      <t>ゴウケイ</t>
    </rPh>
    <phoneticPr fontId="3"/>
  </si>
  <si>
    <t>均等割合計</t>
    <rPh sb="0" eb="2">
      <t>キントウ</t>
    </rPh>
    <rPh sb="2" eb="3">
      <t>ワリ</t>
    </rPh>
    <rPh sb="3" eb="5">
      <t>ゴウケイ</t>
    </rPh>
    <phoneticPr fontId="3"/>
  </si>
  <si>
    <t>＝</t>
    <phoneticPr fontId="3"/>
  </si>
  <si>
    <t>旧被扶養者</t>
    <rPh sb="0" eb="1">
      <t>キュウ</t>
    </rPh>
    <rPh sb="1" eb="5">
      <t>ヒフヨウシャ</t>
    </rPh>
    <phoneticPr fontId="3"/>
  </si>
  <si>
    <t>軽減計算用年金所得</t>
    <rPh sb="0" eb="2">
      <t>ケイゲン</t>
    </rPh>
    <rPh sb="2" eb="4">
      <t>ケイサン</t>
    </rPh>
    <rPh sb="4" eb="5">
      <t>ヨウ</t>
    </rPh>
    <rPh sb="5" eb="7">
      <t>ネンキン</t>
    </rPh>
    <rPh sb="7" eb="9">
      <t>ショトク</t>
    </rPh>
    <phoneticPr fontId="3"/>
  </si>
  <si>
    <t>非自発的失業適用結果</t>
    <rPh sb="0" eb="1">
      <t>ヒ</t>
    </rPh>
    <rPh sb="1" eb="4">
      <t>ジハツテキ</t>
    </rPh>
    <rPh sb="4" eb="6">
      <t>シツギョウ</t>
    </rPh>
    <rPh sb="6" eb="8">
      <t>テキヨウ</t>
    </rPh>
    <rPh sb="8" eb="10">
      <t>ケッカ</t>
    </rPh>
    <phoneticPr fontId="3"/>
  </si>
  <si>
    <t>年金所得</t>
    <rPh sb="0" eb="2">
      <t>ネンキン</t>
    </rPh>
    <rPh sb="2" eb="4">
      <t>ショトク</t>
    </rPh>
    <phoneticPr fontId="3"/>
  </si>
  <si>
    <t>適用後給与所得</t>
    <rPh sb="0" eb="2">
      <t>テキヨウ</t>
    </rPh>
    <rPh sb="2" eb="3">
      <t>ゴ</t>
    </rPh>
    <rPh sb="3" eb="5">
      <t>キュウヨ</t>
    </rPh>
    <rPh sb="5" eb="7">
      <t>ショトク</t>
    </rPh>
    <phoneticPr fontId="3"/>
  </si>
  <si>
    <t>国保に入らない</t>
    <rPh sb="0" eb="2">
      <t>コクホ</t>
    </rPh>
    <rPh sb="3" eb="4">
      <t>ハイ</t>
    </rPh>
    <phoneticPr fontId="3"/>
  </si>
  <si>
    <t>国保加入者１</t>
    <rPh sb="0" eb="2">
      <t>コクホ</t>
    </rPh>
    <rPh sb="2" eb="5">
      <t>カニュウシャ</t>
    </rPh>
    <phoneticPr fontId="3"/>
  </si>
  <si>
    <t>--選択してください--</t>
    <rPh sb="2" eb="4">
      <t>センタク</t>
    </rPh>
    <phoneticPr fontId="3"/>
  </si>
  <si>
    <t>年金収入</t>
    <rPh sb="0" eb="2">
      <t>ネンキン</t>
    </rPh>
    <rPh sb="2" eb="4">
      <t>シュウニュウ</t>
    </rPh>
    <phoneticPr fontId="3"/>
  </si>
  <si>
    <t>75歳～</t>
    <rPh sb="2" eb="3">
      <t>サイ</t>
    </rPh>
    <phoneticPr fontId="3"/>
  </si>
  <si>
    <t>65～74歳</t>
    <rPh sb="5" eb="6">
      <t>サイ</t>
    </rPh>
    <phoneticPr fontId="3"/>
  </si>
  <si>
    <t>年齢</t>
    <rPh sb="0" eb="2">
      <t>ネンレイ</t>
    </rPh>
    <phoneticPr fontId="3"/>
  </si>
  <si>
    <t>64歳以下</t>
    <rPh sb="2" eb="3">
      <t>サイ</t>
    </rPh>
    <rPh sb="3" eb="5">
      <t>イカ</t>
    </rPh>
    <phoneticPr fontId="3"/>
  </si>
  <si>
    <t>計算方法</t>
    <rPh sb="0" eb="2">
      <t>ケイサン</t>
    </rPh>
    <rPh sb="2" eb="4">
      <t>ホウホウ</t>
    </rPh>
    <phoneticPr fontId="3"/>
  </si>
  <si>
    <t>～64歳</t>
    <rPh sb="3" eb="4">
      <t>サイ</t>
    </rPh>
    <phoneticPr fontId="3"/>
  </si>
  <si>
    <t>65歳～</t>
    <rPh sb="2" eb="3">
      <t>サイ</t>
    </rPh>
    <phoneticPr fontId="3"/>
  </si>
  <si>
    <t>%</t>
    <phoneticPr fontId="3"/>
  </si>
  <si>
    <t>控除額</t>
    <rPh sb="0" eb="2">
      <t>コウジョ</t>
    </rPh>
    <rPh sb="2" eb="3">
      <t>ガク</t>
    </rPh>
    <phoneticPr fontId="3"/>
  </si>
  <si>
    <t>計算結果</t>
    <rPh sb="0" eb="2">
      <t>ケイサン</t>
    </rPh>
    <rPh sb="2" eb="4">
      <t>ケッカ</t>
    </rPh>
    <phoneticPr fontId="3"/>
  </si>
  <si>
    <t>給与所得</t>
    <rPh sb="0" eb="2">
      <t>キュウヨ</t>
    </rPh>
    <rPh sb="2" eb="4">
      <t>ショトク</t>
    </rPh>
    <phoneticPr fontId="3"/>
  </si>
  <si>
    <t>給与からの控除額</t>
    <rPh sb="0" eb="2">
      <t>キュウヨ</t>
    </rPh>
    <rPh sb="5" eb="7">
      <t>コウジョ</t>
    </rPh>
    <rPh sb="7" eb="8">
      <t>ガク</t>
    </rPh>
    <phoneticPr fontId="3"/>
  </si>
  <si>
    <t>マイナスを無くした調整後の給与所得</t>
    <rPh sb="5" eb="6">
      <t>ナ</t>
    </rPh>
    <rPh sb="9" eb="12">
      <t>チョウセイゴ</t>
    </rPh>
    <rPh sb="13" eb="15">
      <t>キュウヨ</t>
    </rPh>
    <rPh sb="15" eb="17">
      <t>ショトク</t>
    </rPh>
    <phoneticPr fontId="3"/>
  </si>
  <si>
    <t>軽減用年金所得</t>
    <rPh sb="0" eb="2">
      <t>ケイゲン</t>
    </rPh>
    <rPh sb="2" eb="3">
      <t>ヨウ</t>
    </rPh>
    <rPh sb="3" eb="5">
      <t>ネンキン</t>
    </rPh>
    <rPh sb="5" eb="7">
      <t>ショトク</t>
    </rPh>
    <phoneticPr fontId="3"/>
  </si>
  <si>
    <t>＝</t>
    <phoneticPr fontId="3"/>
  </si>
  <si>
    <t>７割軽減に該当する額</t>
    <rPh sb="1" eb="2">
      <t>ワリ</t>
    </rPh>
    <rPh sb="2" eb="3">
      <t>カル</t>
    </rPh>
    <rPh sb="3" eb="4">
      <t>ゲン</t>
    </rPh>
    <rPh sb="5" eb="7">
      <t>ガイトウ</t>
    </rPh>
    <rPh sb="9" eb="10">
      <t>ガク</t>
    </rPh>
    <phoneticPr fontId="3"/>
  </si>
  <si>
    <t>5割軽減に該当する額</t>
    <rPh sb="1" eb="2">
      <t>ワリ</t>
    </rPh>
    <rPh sb="2" eb="3">
      <t>カル</t>
    </rPh>
    <rPh sb="3" eb="4">
      <t>ゲン</t>
    </rPh>
    <rPh sb="5" eb="7">
      <t>ガイトウ</t>
    </rPh>
    <rPh sb="9" eb="10">
      <t>ガク</t>
    </rPh>
    <phoneticPr fontId="3"/>
  </si>
  <si>
    <t>2割軽減に該当する額</t>
    <rPh sb="1" eb="2">
      <t>ワリ</t>
    </rPh>
    <rPh sb="2" eb="3">
      <t>カル</t>
    </rPh>
    <rPh sb="3" eb="4">
      <t>ゲン</t>
    </rPh>
    <rPh sb="5" eb="7">
      <t>ガイトウ</t>
    </rPh>
    <rPh sb="9" eb="10">
      <t>ガク</t>
    </rPh>
    <phoneticPr fontId="3"/>
  </si>
  <si>
    <t>７割軽減</t>
    <rPh sb="1" eb="2">
      <t>ワリ</t>
    </rPh>
    <rPh sb="2" eb="4">
      <t>ケイゲン</t>
    </rPh>
    <phoneticPr fontId="3"/>
  </si>
  <si>
    <t>5割軽減</t>
    <rPh sb="1" eb="2">
      <t>ワリ</t>
    </rPh>
    <rPh sb="2" eb="4">
      <t>ケイゲン</t>
    </rPh>
    <phoneticPr fontId="3"/>
  </si>
  <si>
    <t>2割軽減</t>
    <rPh sb="1" eb="2">
      <t>ワリ</t>
    </rPh>
    <rPh sb="2" eb="4">
      <t>ケイゲン</t>
    </rPh>
    <phoneticPr fontId="3"/>
  </si>
  <si>
    <t>軽減非該当</t>
    <rPh sb="0" eb="2">
      <t>ケイゲン</t>
    </rPh>
    <rPh sb="2" eb="5">
      <t>ヒガイトウ</t>
    </rPh>
    <phoneticPr fontId="3"/>
  </si>
  <si>
    <t>３つの合計</t>
    <rPh sb="3" eb="5">
      <t>ゴウケイ</t>
    </rPh>
    <phoneticPr fontId="3"/>
  </si>
  <si>
    <t>医療分の上限</t>
    <rPh sb="0" eb="2">
      <t>イリョウ</t>
    </rPh>
    <rPh sb="2" eb="3">
      <t>ブン</t>
    </rPh>
    <rPh sb="4" eb="6">
      <t>ジョウゲン</t>
    </rPh>
    <phoneticPr fontId="3"/>
  </si>
  <si>
    <t>医療分結果</t>
    <rPh sb="0" eb="2">
      <t>イリョウ</t>
    </rPh>
    <rPh sb="2" eb="3">
      <t>ブン</t>
    </rPh>
    <rPh sb="3" eb="5">
      <t>ケッカ</t>
    </rPh>
    <phoneticPr fontId="3"/>
  </si>
  <si>
    <t>介護分結果</t>
    <rPh sb="0" eb="2">
      <t>カイゴ</t>
    </rPh>
    <rPh sb="2" eb="3">
      <t>ブン</t>
    </rPh>
    <rPh sb="3" eb="5">
      <t>ケッカ</t>
    </rPh>
    <phoneticPr fontId="3"/>
  </si>
  <si>
    <t>後期分結果</t>
    <rPh sb="0" eb="2">
      <t>コウキ</t>
    </rPh>
    <rPh sb="2" eb="3">
      <t>ブン</t>
    </rPh>
    <rPh sb="3" eb="5">
      <t>ケッカ</t>
    </rPh>
    <phoneticPr fontId="3"/>
  </si>
  <si>
    <t>後期分の上限</t>
    <rPh sb="0" eb="2">
      <t>コウキ</t>
    </rPh>
    <rPh sb="2" eb="3">
      <t>ブン</t>
    </rPh>
    <rPh sb="4" eb="6">
      <t>ジョウゲン</t>
    </rPh>
    <phoneticPr fontId="3"/>
  </si>
  <si>
    <t>介護分の上限</t>
    <rPh sb="0" eb="2">
      <t>カイゴ</t>
    </rPh>
    <rPh sb="2" eb="3">
      <t>ブン</t>
    </rPh>
    <rPh sb="4" eb="6">
      <t>ジョウゲン</t>
    </rPh>
    <phoneticPr fontId="3"/>
  </si>
  <si>
    <t>該当なし</t>
    <rPh sb="0" eb="2">
      <t>ガイトウ</t>
    </rPh>
    <phoneticPr fontId="3"/>
  </si>
  <si>
    <t>A</t>
    <phoneticPr fontId="3"/>
  </si>
  <si>
    <t>B</t>
    <phoneticPr fontId="3"/>
  </si>
  <si>
    <t>D</t>
    <phoneticPr fontId="3"/>
  </si>
  <si>
    <t>E</t>
    <phoneticPr fontId="3"/>
  </si>
  <si>
    <t>F</t>
    <phoneticPr fontId="3"/>
  </si>
  <si>
    <t>--選択してください--</t>
    <rPh sb="2" eb="4">
      <t>センタク</t>
    </rPh>
    <phoneticPr fontId="3"/>
  </si>
  <si>
    <t>非自発的失業</t>
    <rPh sb="0" eb="1">
      <t>ヒ</t>
    </rPh>
    <rPh sb="1" eb="4">
      <t>ジハツテキ</t>
    </rPh>
    <rPh sb="4" eb="6">
      <t>シツギョウ</t>
    </rPh>
    <phoneticPr fontId="3"/>
  </si>
  <si>
    <t>世帯軽減用合計</t>
    <rPh sb="0" eb="2">
      <t>セタイ</t>
    </rPh>
    <rPh sb="2" eb="4">
      <t>ケイゲン</t>
    </rPh>
    <rPh sb="4" eb="5">
      <t>ヨウ</t>
    </rPh>
    <rPh sb="5" eb="7">
      <t>ゴウケイ</t>
    </rPh>
    <phoneticPr fontId="3"/>
  </si>
  <si>
    <t>結果</t>
    <rPh sb="0" eb="2">
      <t>ケッカ</t>
    </rPh>
    <phoneticPr fontId="3"/>
  </si>
  <si>
    <t>選択不要でした</t>
    <rPh sb="0" eb="1">
      <t>センタク</t>
    </rPh>
    <rPh sb="1" eb="3">
      <t>フヨウ</t>
    </rPh>
    <phoneticPr fontId="3"/>
  </si>
  <si>
    <t>H</t>
    <phoneticPr fontId="3"/>
  </si>
  <si>
    <t>軽減用人数</t>
    <rPh sb="0" eb="2">
      <t>ケイゲン</t>
    </rPh>
    <rPh sb="2" eb="3">
      <t>ヨウ</t>
    </rPh>
    <rPh sb="3" eb="5">
      <t>ニンズウ</t>
    </rPh>
    <phoneticPr fontId="3"/>
  </si>
  <si>
    <t>をかける</t>
    <phoneticPr fontId="3"/>
  </si>
  <si>
    <t>0歳～小学校入学前</t>
    <rPh sb="1" eb="2">
      <t>サイ</t>
    </rPh>
    <rPh sb="3" eb="6">
      <t>ショウガッコウ</t>
    </rPh>
    <rPh sb="6" eb="8">
      <t>ニュウガク</t>
    </rPh>
    <rPh sb="8" eb="9">
      <t>マエ</t>
    </rPh>
    <phoneticPr fontId="3"/>
  </si>
  <si>
    <t>小学生～14歳</t>
    <rPh sb="0" eb="3">
      <t>ショウガクセイ</t>
    </rPh>
    <rPh sb="6" eb="7">
      <t>サイ</t>
    </rPh>
    <phoneticPr fontId="3"/>
  </si>
  <si>
    <t>年齢別リスト名前</t>
    <rPh sb="0" eb="2">
      <t>ネンレイ</t>
    </rPh>
    <rPh sb="2" eb="3">
      <t>ベツ</t>
    </rPh>
    <rPh sb="6" eb="8">
      <t>ナマエ</t>
    </rPh>
    <phoneticPr fontId="3"/>
  </si>
  <si>
    <t>免除確認</t>
    <rPh sb="0" eb="2">
      <t>メンジョ</t>
    </rPh>
    <rPh sb="2" eb="4">
      <t>カクニン</t>
    </rPh>
    <phoneticPr fontId="3"/>
  </si>
  <si>
    <r>
      <t xml:space="preserve">月毎徴収額
</t>
    </r>
    <r>
      <rPr>
        <b/>
        <sz val="9"/>
        <color theme="0"/>
        <rFont val="游ゴシック"/>
        <family val="3"/>
        <charset val="128"/>
        <scheme val="minor"/>
      </rPr>
      <t>普通徴取の場合</t>
    </r>
    <rPh sb="0" eb="1">
      <t>ツキ</t>
    </rPh>
    <rPh sb="1" eb="2">
      <t>ゴト</t>
    </rPh>
    <rPh sb="2" eb="5">
      <t>チョウシュウガク</t>
    </rPh>
    <rPh sb="6" eb="8">
      <t>フツウ</t>
    </rPh>
    <rPh sb="8" eb="10">
      <t>チョウシュ</t>
    </rPh>
    <rPh sb="11" eb="13">
      <t>バアイ</t>
    </rPh>
    <phoneticPr fontId="3"/>
  </si>
  <si>
    <r>
      <t xml:space="preserve">月毎徴収額
</t>
    </r>
    <r>
      <rPr>
        <b/>
        <sz val="9"/>
        <color theme="0"/>
        <rFont val="游ゴシック"/>
        <family val="3"/>
        <charset val="128"/>
        <scheme val="minor"/>
      </rPr>
      <t>年金天引の場合</t>
    </r>
    <rPh sb="0" eb="1">
      <t>ツキ</t>
    </rPh>
    <rPh sb="1" eb="2">
      <t>ゴト</t>
    </rPh>
    <rPh sb="2" eb="5">
      <t>チョウシュウガク</t>
    </rPh>
    <rPh sb="6" eb="8">
      <t>ネンキン</t>
    </rPh>
    <rPh sb="8" eb="10">
      <t>テンビ</t>
    </rPh>
    <rPh sb="11" eb="13">
      <t>バアイ</t>
    </rPh>
    <phoneticPr fontId="3"/>
  </si>
  <si>
    <r>
      <rPr>
        <b/>
        <sz val="11"/>
        <color theme="5" tint="-0.499984740745262"/>
        <rFont val="游ゴシック"/>
        <family val="3"/>
        <charset val="128"/>
        <scheme val="minor"/>
      </rPr>
      <t>介護支援分</t>
    </r>
    <r>
      <rPr>
        <sz val="11"/>
        <color theme="1"/>
        <rFont val="游ゴシック"/>
        <family val="2"/>
        <charset val="128"/>
        <scheme val="minor"/>
      </rPr>
      <t>（40～64歳の間）</t>
    </r>
    <rPh sb="0" eb="2">
      <t>カイゴ</t>
    </rPh>
    <rPh sb="2" eb="4">
      <t>シエン</t>
    </rPh>
    <rPh sb="4" eb="5">
      <t>ブン</t>
    </rPh>
    <phoneticPr fontId="3"/>
  </si>
  <si>
    <t>年齢・免除確認の順に選択</t>
    <rPh sb="0" eb="1">
      <t>ネンレイ</t>
    </rPh>
    <rPh sb="3" eb="5">
      <t>メンジョ</t>
    </rPh>
    <rPh sb="4" eb="6">
      <t>カクニン</t>
    </rPh>
    <rPh sb="7" eb="8">
      <t>ジュン</t>
    </rPh>
    <phoneticPr fontId="3"/>
  </si>
  <si>
    <t>G</t>
    <phoneticPr fontId="3"/>
  </si>
  <si>
    <r>
      <rPr>
        <b/>
        <sz val="11"/>
        <color theme="1"/>
        <rFont val="游ゴシック"/>
        <family val="3"/>
        <charset val="128"/>
        <scheme val="minor"/>
      </rPr>
      <t>年金収入</t>
    </r>
    <r>
      <rPr>
        <sz val="11"/>
        <color theme="1"/>
        <rFont val="游ゴシック"/>
        <family val="2"/>
        <charset val="128"/>
        <scheme val="minor"/>
      </rPr>
      <t xml:space="preserve">
</t>
    </r>
    <r>
      <rPr>
        <sz val="10"/>
        <color theme="1"/>
        <rFont val="游ゴシック"/>
        <family val="3"/>
        <charset val="128"/>
        <scheme val="minor"/>
      </rPr>
      <t>※源泉徴収票の「支払額」または保険料等を天引きされる</t>
    </r>
    <r>
      <rPr>
        <b/>
        <sz val="11"/>
        <rFont val="游ゴシック"/>
        <family val="3"/>
        <charset val="128"/>
        <scheme val="minor"/>
      </rPr>
      <t>前</t>
    </r>
    <r>
      <rPr>
        <sz val="10"/>
        <color theme="1"/>
        <rFont val="游ゴシック"/>
        <family val="3"/>
        <charset val="128"/>
        <scheme val="minor"/>
      </rPr>
      <t>の年間額を</t>
    </r>
    <r>
      <rPr>
        <b/>
        <sz val="10"/>
        <color rgb="FFFF0000"/>
        <rFont val="游ゴシック"/>
        <family val="3"/>
        <charset val="128"/>
        <scheme val="minor"/>
      </rPr>
      <t>入力</t>
    </r>
    <rPh sb="0" eb="2">
      <t>ネンキン</t>
    </rPh>
    <rPh sb="2" eb="4">
      <t>シュウニュウ</t>
    </rPh>
    <rPh sb="20" eb="23">
      <t>ホケンリョウ</t>
    </rPh>
    <rPh sb="23" eb="24">
      <t>ナド</t>
    </rPh>
    <rPh sb="25" eb="27">
      <t>テンビ</t>
    </rPh>
    <rPh sb="31" eb="32">
      <t>マエ</t>
    </rPh>
    <rPh sb="33" eb="35">
      <t>ネンカン</t>
    </rPh>
    <rPh sb="35" eb="36">
      <t>ガク</t>
    </rPh>
    <rPh sb="37" eb="39">
      <t>ニュウリョク</t>
    </rPh>
    <phoneticPr fontId="3"/>
  </si>
  <si>
    <t>年金収入の区分</t>
    <rPh sb="0" eb="2">
      <t>ネンキン</t>
    </rPh>
    <rPh sb="2" eb="4">
      <t>シュウニュウ</t>
    </rPh>
    <rPh sb="5" eb="7">
      <t>クブン</t>
    </rPh>
    <phoneticPr fontId="3"/>
  </si>
  <si>
    <t>【理由コード】11・12・21・22・23・31・32・33・34</t>
    <rPh sb="1" eb="3">
      <t>リユウ</t>
    </rPh>
    <phoneticPr fontId="3"/>
  </si>
  <si>
    <t>基礎控除額</t>
    <rPh sb="0" eb="2">
      <t>キソ</t>
    </rPh>
    <rPh sb="2" eb="4">
      <t>コウジョ</t>
    </rPh>
    <rPh sb="4" eb="5">
      <t>ガク</t>
    </rPh>
    <phoneticPr fontId="3"/>
  </si>
  <si>
    <t>※100円未満の端数は切捨て</t>
    <rPh sb="4" eb="5">
      <t>エン</t>
    </rPh>
    <rPh sb="5" eb="7">
      <t>ミマン</t>
    </rPh>
    <rPh sb="8" eb="10">
      <t>ハスウ</t>
    </rPh>
    <rPh sb="11" eb="12">
      <t>キ</t>
    </rPh>
    <rPh sb="12" eb="13">
      <t>ス</t>
    </rPh>
    <phoneticPr fontId="3"/>
  </si>
  <si>
    <t>※100円未満の
端数は切捨て</t>
    <rPh sb="4" eb="5">
      <t>エン</t>
    </rPh>
    <rPh sb="5" eb="7">
      <t>ミマン</t>
    </rPh>
    <rPh sb="9" eb="11">
      <t>ハスウ</t>
    </rPh>
    <rPh sb="12" eb="13">
      <t>キ</t>
    </rPh>
    <rPh sb="13" eb="14">
      <t>ス</t>
    </rPh>
    <phoneticPr fontId="3"/>
  </si>
  <si>
    <t>非自発的失業者とは：解雇などで失業し、雇用保険受給資格者証で</t>
    <rPh sb="0" eb="1">
      <t>ヒ</t>
    </rPh>
    <rPh sb="1" eb="4">
      <t>ジハツテキ</t>
    </rPh>
    <rPh sb="4" eb="7">
      <t>シツギョウシャ</t>
    </rPh>
    <rPh sb="10" eb="12">
      <t>カイコ</t>
    </rPh>
    <rPh sb="15" eb="17">
      <t>シツギョウ</t>
    </rPh>
    <rPh sb="19" eb="21">
      <t>コヨウ</t>
    </rPh>
    <rPh sb="21" eb="23">
      <t>ホケン</t>
    </rPh>
    <rPh sb="23" eb="25">
      <t>ジュキュウ</t>
    </rPh>
    <rPh sb="25" eb="28">
      <t>シカクシャ</t>
    </rPh>
    <rPh sb="28" eb="29">
      <t>ショウ</t>
    </rPh>
    <phoneticPr fontId="3"/>
  </si>
  <si>
    <t xml:space="preserve"> 該当の離職理由コードがある方</t>
    <phoneticPr fontId="3"/>
  </si>
  <si>
    <t>×被保険者数</t>
    <rPh sb="1" eb="5">
      <t>ヒホケンシャ</t>
    </rPh>
    <rPh sb="5" eb="6">
      <t>スウ</t>
    </rPh>
    <phoneticPr fontId="3"/>
  </si>
  <si>
    <t>×給与者等</t>
    <rPh sb="1" eb="3">
      <t>キュウヨ</t>
    </rPh>
    <rPh sb="3" eb="4">
      <t>シャ</t>
    </rPh>
    <rPh sb="4" eb="5">
      <t>トウ</t>
    </rPh>
    <phoneticPr fontId="3"/>
  </si>
  <si>
    <t>基礎控除</t>
    <rPh sb="0" eb="2">
      <t>キソ</t>
    </rPh>
    <rPh sb="2" eb="4">
      <t>コウジョ</t>
    </rPh>
    <phoneticPr fontId="3"/>
  </si>
  <si>
    <r>
      <rPr>
        <b/>
        <sz val="11"/>
        <color theme="1"/>
        <rFont val="游ゴシック"/>
        <family val="3"/>
        <charset val="128"/>
        <scheme val="minor"/>
      </rPr>
      <t>事業所得</t>
    </r>
    <r>
      <rPr>
        <sz val="10"/>
        <color theme="1"/>
        <rFont val="游ゴシック"/>
        <family val="3"/>
        <charset val="128"/>
        <scheme val="minor"/>
      </rPr>
      <t xml:space="preserve">や
</t>
    </r>
    <r>
      <rPr>
        <b/>
        <sz val="10"/>
        <color theme="1"/>
        <rFont val="游ゴシック"/>
        <family val="3"/>
        <charset val="128"/>
        <scheme val="minor"/>
      </rPr>
      <t>その他の</t>
    </r>
    <r>
      <rPr>
        <b/>
        <sz val="11"/>
        <color theme="1"/>
        <rFont val="游ゴシック"/>
        <family val="3"/>
        <charset val="128"/>
        <scheme val="minor"/>
      </rPr>
      <t>所得</t>
    </r>
    <r>
      <rPr>
        <sz val="11"/>
        <color theme="1"/>
        <rFont val="游ゴシック"/>
        <family val="2"/>
        <charset val="128"/>
        <scheme val="minor"/>
      </rPr>
      <t xml:space="preserve">
</t>
    </r>
    <r>
      <rPr>
        <sz val="10"/>
        <color theme="1"/>
        <rFont val="游ゴシック"/>
        <family val="3"/>
        <charset val="128"/>
        <scheme val="minor"/>
      </rPr>
      <t>※必要経費等控除後の額を</t>
    </r>
    <r>
      <rPr>
        <b/>
        <sz val="10"/>
        <color rgb="FFFF0000"/>
        <rFont val="游ゴシック"/>
        <family val="3"/>
        <charset val="128"/>
        <scheme val="minor"/>
      </rPr>
      <t>入力</t>
    </r>
    <rPh sb="0" eb="2">
      <t>ジギョウ</t>
    </rPh>
    <rPh sb="2" eb="4">
      <t>ショトク</t>
    </rPh>
    <rPh sb="8" eb="9">
      <t>タ</t>
    </rPh>
    <rPh sb="10" eb="12">
      <t>ショトク</t>
    </rPh>
    <rPh sb="14" eb="16">
      <t>ヒツヨウ</t>
    </rPh>
    <rPh sb="16" eb="18">
      <t>ケイヒ</t>
    </rPh>
    <rPh sb="18" eb="19">
      <t>ナド</t>
    </rPh>
    <rPh sb="19" eb="21">
      <t>コウジョ</t>
    </rPh>
    <rPh sb="21" eb="22">
      <t>ゴ</t>
    </rPh>
    <rPh sb="23" eb="24">
      <t>ガク</t>
    </rPh>
    <rPh sb="25" eb="27">
      <t>ニュウリョク</t>
    </rPh>
    <phoneticPr fontId="3"/>
  </si>
  <si>
    <t>年齢空白</t>
    <rPh sb="0" eb="2">
      <t>ネンレイ</t>
    </rPh>
    <rPh sb="2" eb="4">
      <t>クウハク</t>
    </rPh>
    <phoneticPr fontId="3"/>
  </si>
  <si>
    <t>R８年度</t>
    <rPh sb="2" eb="4">
      <t>ネンド</t>
    </rPh>
    <phoneticPr fontId="3"/>
  </si>
  <si>
    <t>所得割の所得額計算用</t>
    <rPh sb="0" eb="2">
      <t>ショトク</t>
    </rPh>
    <rPh sb="2" eb="3">
      <t>ワリ</t>
    </rPh>
    <rPh sb="4" eb="6">
      <t>ショトク</t>
    </rPh>
    <rPh sb="6" eb="7">
      <t>ガク</t>
    </rPh>
    <rPh sb="7" eb="10">
      <t>ケイサンヨウ</t>
    </rPh>
    <phoneticPr fontId="3"/>
  </si>
  <si>
    <r>
      <rPr>
        <b/>
        <sz val="12"/>
        <color rgb="FFFF0000"/>
        <rFont val="游ゴシック"/>
        <family val="3"/>
        <charset val="128"/>
        <scheme val="minor"/>
      </rPr>
      <t>【国保年金班の方へ】</t>
    </r>
    <r>
      <rPr>
        <b/>
        <sz val="12"/>
        <color rgb="FF002060"/>
        <rFont val="游ゴシック"/>
        <family val="3"/>
        <charset val="128"/>
        <scheme val="minor"/>
      </rPr>
      <t>年度にあわせて薄黄色のセルの数字を変更してください。新国保世帯用入力シートに数字等がリンクしています。</t>
    </r>
    <rPh sb="1" eb="3">
      <t>コクホ</t>
    </rPh>
    <rPh sb="3" eb="5">
      <t>ネンキン</t>
    </rPh>
    <rPh sb="5" eb="6">
      <t>ハン</t>
    </rPh>
    <rPh sb="7" eb="8">
      <t>カタ</t>
    </rPh>
    <rPh sb="10" eb="12">
      <t>ネンド</t>
    </rPh>
    <rPh sb="17" eb="18">
      <t>ウス</t>
    </rPh>
    <rPh sb="18" eb="20">
      <t>キイロ</t>
    </rPh>
    <rPh sb="24" eb="26">
      <t>スウジ</t>
    </rPh>
    <rPh sb="27" eb="29">
      <t>ヘンコウ</t>
    </rPh>
    <rPh sb="36" eb="37">
      <t>シン</t>
    </rPh>
    <rPh sb="37" eb="39">
      <t>コクホ</t>
    </rPh>
    <rPh sb="39" eb="41">
      <t>セタイ</t>
    </rPh>
    <rPh sb="41" eb="42">
      <t>ヨウ</t>
    </rPh>
    <rPh sb="42" eb="44">
      <t>ニュウリョク</t>
    </rPh>
    <rPh sb="48" eb="50">
      <t>スウジ</t>
    </rPh>
    <rPh sb="50" eb="51">
      <t>トウ</t>
    </rPh>
    <phoneticPr fontId="3"/>
  </si>
  <si>
    <t>リストに「名前」を付けて、データの入力規則に利用</t>
    <rPh sb="5" eb="7">
      <t>ナマエ</t>
    </rPh>
    <rPh sb="9" eb="10">
      <t>ツ</t>
    </rPh>
    <rPh sb="17" eb="19">
      <t>ニュウリョク</t>
    </rPh>
    <rPh sb="19" eb="21">
      <t>キソク</t>
    </rPh>
    <rPh sb="22" eb="24">
      <t>リヨウ</t>
    </rPh>
    <phoneticPr fontId="3"/>
  </si>
  <si>
    <t>子育て分結果</t>
    <rPh sb="0" eb="2">
      <t>コソダ</t>
    </rPh>
    <rPh sb="3" eb="4">
      <t>ブン</t>
    </rPh>
    <rPh sb="4" eb="6">
      <t>ケッカ</t>
    </rPh>
    <phoneticPr fontId="3"/>
  </si>
  <si>
    <t xml:space="preserve"> 世帯主</t>
    <rPh sb="1" eb="4">
      <t>セタイヌシ</t>
    </rPh>
    <phoneticPr fontId="3"/>
  </si>
  <si>
    <r>
      <t>円　※</t>
    </r>
    <r>
      <rPr>
        <b/>
        <sz val="11"/>
        <color rgb="FF00B050"/>
        <rFont val="游ゴシック"/>
        <family val="3"/>
        <charset val="128"/>
        <scheme val="minor"/>
      </rPr>
      <t>任意継続</t>
    </r>
    <r>
      <rPr>
        <sz val="11"/>
        <color theme="1"/>
        <rFont val="游ゴシック"/>
        <family val="2"/>
        <charset val="128"/>
        <scheme val="minor"/>
      </rPr>
      <t>の保険料と比較する際はこちら</t>
    </r>
    <rPh sb="0" eb="1">
      <t>エン</t>
    </rPh>
    <rPh sb="3" eb="5">
      <t>ニンイ</t>
    </rPh>
    <rPh sb="5" eb="7">
      <t>ケイゾク</t>
    </rPh>
    <rPh sb="8" eb="11">
      <t>ホケンリョウ</t>
    </rPh>
    <rPh sb="12" eb="14">
      <t>ヒカク</t>
    </rPh>
    <rPh sb="16" eb="17">
      <t>サイ</t>
    </rPh>
    <phoneticPr fontId="3"/>
  </si>
  <si>
    <t>円　※100円未満の端数は、初月にまとめて徴収</t>
    <rPh sb="0" eb="1">
      <t>エン</t>
    </rPh>
    <rPh sb="6" eb="7">
      <t>エン</t>
    </rPh>
    <rPh sb="7" eb="9">
      <t>ミマン</t>
    </rPh>
    <rPh sb="10" eb="12">
      <t>ハスウ</t>
    </rPh>
    <rPh sb="14" eb="16">
      <t>ショゲツ</t>
    </rPh>
    <rPh sb="21" eb="23">
      <t>チョウシュウ</t>
    </rPh>
    <phoneticPr fontId="3"/>
  </si>
  <si>
    <t>年間保険料（医療+後期+介護＋子育て）</t>
    <rPh sb="0" eb="2">
      <t>ネンカン</t>
    </rPh>
    <rPh sb="2" eb="5">
      <t>ホケンリョウ</t>
    </rPh>
    <rPh sb="15" eb="17">
      <t>コソダ</t>
    </rPh>
    <phoneticPr fontId="3"/>
  </si>
  <si>
    <t>所得判定による軽減割合</t>
    <rPh sb="0" eb="2">
      <t>ショトク</t>
    </rPh>
    <rPh sb="2" eb="4">
      <t>ハンテイ</t>
    </rPh>
    <rPh sb="7" eb="9">
      <t>ケイゲン</t>
    </rPh>
    <rPh sb="9" eb="11">
      <t>ワリアイ</t>
    </rPh>
    <phoneticPr fontId="3"/>
  </si>
  <si>
    <t xml:space="preserve"> 年間 ÷ １２＝ 約</t>
    <rPh sb="1" eb="3">
      <t>ネンカン</t>
    </rPh>
    <rPh sb="10" eb="11">
      <t>ヤク</t>
    </rPh>
    <phoneticPr fontId="3"/>
  </si>
  <si>
    <t xml:space="preserve"> 年間 ÷ １0 ＝ 約</t>
    <rPh sb="1" eb="3">
      <t>ネンカン</t>
    </rPh>
    <rPh sb="11" eb="12">
      <t>ヤク</t>
    </rPh>
    <phoneticPr fontId="3"/>
  </si>
  <si>
    <t xml:space="preserve"> 年間 ÷ 　６＝ 約</t>
    <rPh sb="1" eb="3">
      <t>ネンカン</t>
    </rPh>
    <rPh sb="10" eb="11">
      <t>ヤク</t>
    </rPh>
    <phoneticPr fontId="3"/>
  </si>
  <si>
    <t>この段以降の薄緑セルにアルファベット（２段上と同じ）の名前を定義中</t>
    <rPh sb="2" eb="3">
      <t>ダン</t>
    </rPh>
    <rPh sb="3" eb="5">
      <t>イコウ</t>
    </rPh>
    <rPh sb="6" eb="7">
      <t>ウス</t>
    </rPh>
    <rPh sb="7" eb="8">
      <t>ミドリ</t>
    </rPh>
    <rPh sb="20" eb="21">
      <t>ダン</t>
    </rPh>
    <rPh sb="21" eb="22">
      <t>ウエ</t>
    </rPh>
    <rPh sb="23" eb="24">
      <t>オナ</t>
    </rPh>
    <rPh sb="27" eb="29">
      <t>ナマエ</t>
    </rPh>
    <rPh sb="30" eb="32">
      <t>テイギ</t>
    </rPh>
    <rPh sb="32" eb="33">
      <t>チュウ</t>
    </rPh>
    <phoneticPr fontId="3"/>
  </si>
  <si>
    <r>
      <rPr>
        <b/>
        <sz val="11"/>
        <color rgb="FFCC06B4"/>
        <rFont val="游ゴシック"/>
        <family val="3"/>
        <charset val="128"/>
        <scheme val="minor"/>
      </rPr>
      <t>子育て支援分</t>
    </r>
    <r>
      <rPr>
        <sz val="11"/>
        <color theme="1"/>
        <rFont val="游ゴシック"/>
        <family val="2"/>
        <charset val="128"/>
        <scheme val="minor"/>
      </rPr>
      <t>（18歳以上）</t>
    </r>
    <rPh sb="0" eb="2">
      <t>コソダ</t>
    </rPh>
    <rPh sb="3" eb="5">
      <t>シエン</t>
    </rPh>
    <rPh sb="5" eb="6">
      <t>ブン</t>
    </rPh>
    <rPh sb="10" eb="12">
      <t>イジョウ</t>
    </rPh>
    <phoneticPr fontId="3"/>
  </si>
  <si>
    <t>子育て分の上限</t>
    <rPh sb="0" eb="2">
      <t>コソダ</t>
    </rPh>
    <rPh sb="3" eb="4">
      <t>ブン</t>
    </rPh>
    <rPh sb="5" eb="7">
      <t>ジョウゲン</t>
    </rPh>
    <phoneticPr fontId="3"/>
  </si>
  <si>
    <r>
      <rPr>
        <b/>
        <sz val="11"/>
        <color theme="1"/>
        <rFont val="游ゴシック"/>
        <family val="3"/>
        <charset val="128"/>
        <scheme val="minor"/>
      </rPr>
      <t>給与所得</t>
    </r>
    <r>
      <rPr>
        <sz val="11"/>
        <color theme="1"/>
        <rFont val="游ゴシック"/>
        <family val="2"/>
        <charset val="128"/>
        <scheme val="minor"/>
      </rPr>
      <t xml:space="preserve">
</t>
    </r>
    <r>
      <rPr>
        <sz val="10"/>
        <color theme="1"/>
        <rFont val="游ゴシック"/>
        <family val="3"/>
        <charset val="128"/>
        <scheme val="minor"/>
      </rPr>
      <t xml:space="preserve">※源泉徴収票の「給与所得控除後の金額」を
</t>
    </r>
    <r>
      <rPr>
        <b/>
        <sz val="10"/>
        <color rgb="FFFF0000"/>
        <rFont val="游ゴシック"/>
        <family val="3"/>
        <charset val="128"/>
        <scheme val="minor"/>
      </rPr>
      <t>入力</t>
    </r>
    <rPh sb="0" eb="2">
      <t>キュウヨ</t>
    </rPh>
    <rPh sb="2" eb="4">
      <t>ショトク</t>
    </rPh>
    <rPh sb="6" eb="8">
      <t>ゲンセン</t>
    </rPh>
    <rPh sb="8" eb="11">
      <t>チョウシュウヒョウ</t>
    </rPh>
    <rPh sb="13" eb="15">
      <t>キュウヨ</t>
    </rPh>
    <rPh sb="15" eb="17">
      <t>ショトク</t>
    </rPh>
    <rPh sb="17" eb="19">
      <t>コウジョ</t>
    </rPh>
    <rPh sb="19" eb="20">
      <t>ゴ</t>
    </rPh>
    <rPh sb="22" eb="24">
      <t>キンガクニュウリョク</t>
    </rPh>
    <phoneticPr fontId="3"/>
  </si>
  <si>
    <t>旧被扶養者とは：家族が75歳以上となったため社会保険の扶養から外れる方</t>
    <rPh sb="0" eb="1">
      <t>キュウ</t>
    </rPh>
    <rPh sb="1" eb="5">
      <t>ヒフヨウシャ</t>
    </rPh>
    <rPh sb="8" eb="10">
      <t>カゾク</t>
    </rPh>
    <rPh sb="13" eb="14">
      <t>サイ</t>
    </rPh>
    <rPh sb="14" eb="16">
      <t>イジョウ</t>
    </rPh>
    <rPh sb="22" eb="24">
      <t>シャカイ</t>
    </rPh>
    <rPh sb="24" eb="26">
      <t>ホケン</t>
    </rPh>
    <rPh sb="27" eb="29">
      <t>フヨウ</t>
    </rPh>
    <rPh sb="31" eb="32">
      <t>ハズ</t>
    </rPh>
    <rPh sb="34" eb="35">
      <t>カタ</t>
    </rPh>
    <phoneticPr fontId="3"/>
  </si>
  <si>
    <t>均等割元額</t>
    <rPh sb="0" eb="3">
      <t>キントウワ</t>
    </rPh>
    <rPh sb="3" eb="4">
      <t>モト</t>
    </rPh>
    <rPh sb="4" eb="5">
      <t>ガク</t>
    </rPh>
    <phoneticPr fontId="3"/>
  </si>
  <si>
    <t>均等上乗せ額</t>
    <rPh sb="0" eb="2">
      <t>キントウ</t>
    </rPh>
    <rPh sb="2" eb="4">
      <t>ウワノ</t>
    </rPh>
    <rPh sb="5" eb="6">
      <t>ガク</t>
    </rPh>
    <phoneticPr fontId="3"/>
  </si>
  <si>
    <t>給与か年金の有無（軽減額計算用）</t>
    <rPh sb="0" eb="2">
      <t>キュウヨ</t>
    </rPh>
    <rPh sb="3" eb="5">
      <t>ネンキン</t>
    </rPh>
    <rPh sb="6" eb="8">
      <t>ウム</t>
    </rPh>
    <rPh sb="9" eb="11">
      <t>ケイゲン</t>
    </rPh>
    <rPh sb="11" eb="12">
      <t>ガク</t>
    </rPh>
    <rPh sb="12" eb="15">
      <t>ケイサンヨウ</t>
    </rPh>
    <phoneticPr fontId="3"/>
  </si>
  <si>
    <t>リストシートから下記の金額をリンク中</t>
    <rPh sb="8" eb="10">
      <t>カキ</t>
    </rPh>
    <rPh sb="11" eb="13">
      <t>キンガク</t>
    </rPh>
    <rPh sb="17" eb="18">
      <t>チュウ</t>
    </rPh>
    <phoneticPr fontId="3"/>
  </si>
  <si>
    <t>15～17歳</t>
    <rPh sb="5" eb="6">
      <t>サイ</t>
    </rPh>
    <phoneticPr fontId="3"/>
  </si>
  <si>
    <t>18～39歳</t>
    <rPh sb="5" eb="6">
      <t>サイ</t>
    </rPh>
    <phoneticPr fontId="3"/>
  </si>
  <si>
    <t>産前産後</t>
    <rPh sb="0" eb="2">
      <t>サンゼン</t>
    </rPh>
    <rPh sb="2" eb="4">
      <t>サンゴ</t>
    </rPh>
    <phoneticPr fontId="3"/>
  </si>
  <si>
    <t>I</t>
    <phoneticPr fontId="3"/>
  </si>
  <si>
    <t>子ども・子育て分</t>
    <rPh sb="0" eb="1">
      <t>コ</t>
    </rPh>
    <rPh sb="4" eb="6">
      <t>コソダ</t>
    </rPh>
    <rPh sb="7" eb="8">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</si>
</sst>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 ;[Red]\-0\ "/>
  </numFmts>
  <fonts count="59">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1"/>
      <color theme="0"/>
      <name val="游ゴシック"/>
      <family val="3"/>
      <charset val="128"/>
      <scheme val="minor"/>
    </font>
    <font>
      <u/>
      <sz val="11"/>
      <color theme="1"/>
      <name val="游ゴシック"/>
      <family val="2"/>
      <charset val="128"/>
      <scheme val="minor"/>
    </font>
    <font>
      <b/>
      <sz val="11"/>
      <color theme="0"/>
      <name val="游ゴシック"/>
      <family val="3"/>
      <charset val="128"/>
      <scheme val="minor"/>
    </font>
    <font>
      <sz val="10"/>
      <color theme="1"/>
      <name val="游ゴシック"/>
      <family val="2"/>
      <charset val="128"/>
      <scheme val="minor"/>
    </font>
    <font>
      <b/>
      <sz val="14"/>
      <color rgb="FF0070C0"/>
      <name val="游ゴシック"/>
      <family val="3"/>
      <charset val="128"/>
      <scheme val="minor"/>
    </font>
    <font>
      <b/>
      <sz val="16"/>
      <color rgb="FF00B050"/>
      <name val="游ゴシック"/>
      <family val="3"/>
      <charset val="128"/>
      <scheme val="minor"/>
    </font>
    <font>
      <sz val="10"/>
      <color theme="1"/>
      <name val="游ゴシック"/>
      <family val="3"/>
      <charset val="128"/>
      <scheme val="minor"/>
    </font>
    <font>
      <b/>
      <sz val="12"/>
      <color theme="0"/>
      <name val="游ゴシック"/>
      <family val="3"/>
      <charset val="128"/>
      <scheme val="minor"/>
    </font>
    <font>
      <b/>
      <sz val="9"/>
      <color theme="1"/>
      <name val="游ゴシック"/>
      <family val="3"/>
      <charset val="128"/>
      <scheme val="minor"/>
    </font>
    <font>
      <b/>
      <sz val="12"/>
      <color theme="1"/>
      <name val="游ゴシック"/>
      <family val="3"/>
      <charset val="128"/>
      <scheme val="minor"/>
    </font>
    <font>
      <b/>
      <sz val="11"/>
      <color rgb="FF0070C0"/>
      <name val="游ゴシック"/>
      <family val="3"/>
      <charset val="128"/>
      <scheme val="minor"/>
    </font>
    <font>
      <b/>
      <sz val="9"/>
      <color rgb="FF0070C0"/>
      <name val="游ゴシック"/>
      <family val="3"/>
      <charset val="128"/>
      <scheme val="minor"/>
    </font>
    <font>
      <sz val="11"/>
      <color theme="1"/>
      <name val="游ゴシック"/>
      <family val="3"/>
      <charset val="128"/>
      <scheme val="minor"/>
    </font>
    <font>
      <b/>
      <sz val="10"/>
      <color rgb="FFFF0000"/>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0" tint="-0.34998626667073579"/>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b/>
      <u/>
      <sz val="11"/>
      <color theme="0"/>
      <name val="游ゴシック"/>
      <family val="3"/>
      <charset val="128"/>
      <scheme val="minor"/>
    </font>
    <font>
      <b/>
      <sz val="11"/>
      <name val="游ゴシック"/>
      <family val="3"/>
      <charset val="128"/>
      <scheme val="minor"/>
    </font>
    <font>
      <sz val="16"/>
      <color theme="1"/>
      <name val="游ゴシック"/>
      <family val="2"/>
      <charset val="128"/>
      <scheme val="minor"/>
    </font>
    <font>
      <sz val="16"/>
      <color theme="1"/>
      <name val="游ゴシック"/>
      <family val="3"/>
      <charset val="128"/>
      <scheme val="minor"/>
    </font>
    <font>
      <u/>
      <sz val="9"/>
      <color theme="1"/>
      <name val="游ゴシック"/>
      <family val="2"/>
      <charset val="128"/>
      <scheme val="minor"/>
    </font>
    <font>
      <b/>
      <sz val="10"/>
      <color theme="0"/>
      <name val="游ゴシック"/>
      <family val="3"/>
      <charset val="128"/>
      <scheme val="minor"/>
    </font>
    <font>
      <b/>
      <sz val="16"/>
      <color rgb="FF0070C0"/>
      <name val="游ゴシック"/>
      <family val="3"/>
      <charset val="128"/>
      <scheme val="minor"/>
    </font>
    <font>
      <b/>
      <sz val="12"/>
      <color rgb="FF0070C0"/>
      <name val="游ゴシック"/>
      <family val="3"/>
      <charset val="128"/>
      <scheme val="minor"/>
    </font>
    <font>
      <sz val="10"/>
      <color theme="0"/>
      <name val="游ゴシック"/>
      <family val="3"/>
      <charset val="128"/>
      <scheme val="minor"/>
    </font>
    <font>
      <b/>
      <sz val="9"/>
      <color theme="0"/>
      <name val="游ゴシック"/>
      <family val="3"/>
      <charset val="128"/>
      <scheme val="minor"/>
    </font>
    <font>
      <b/>
      <sz val="11"/>
      <color rgb="FF00B050"/>
      <name val="游ゴシック"/>
      <family val="3"/>
      <charset val="128"/>
      <scheme val="minor"/>
    </font>
    <font>
      <b/>
      <sz val="14"/>
      <color rgb="FF00B050"/>
      <name val="游ゴシック"/>
      <family val="3"/>
      <charset val="128"/>
      <scheme val="minor"/>
    </font>
    <font>
      <b/>
      <sz val="11"/>
      <color theme="9" tint="-0.499984740745262"/>
      <name val="游ゴシック"/>
      <family val="3"/>
      <charset val="128"/>
      <scheme val="minor"/>
    </font>
    <font>
      <b/>
      <sz val="11"/>
      <color theme="8" tint="-0.499984740745262"/>
      <name val="游ゴシック"/>
      <family val="3"/>
      <charset val="128"/>
      <scheme val="minor"/>
    </font>
    <font>
      <b/>
      <sz val="11"/>
      <color theme="5" tint="-0.499984740745262"/>
      <name val="游ゴシック"/>
      <family val="3"/>
      <charset val="128"/>
      <scheme val="minor"/>
    </font>
    <font>
      <b/>
      <sz val="11"/>
      <color theme="8" tint="-0.249977111117893"/>
      <name val="游ゴシック"/>
      <family val="3"/>
      <charset val="128"/>
      <scheme val="minor"/>
    </font>
    <font>
      <b/>
      <sz val="12"/>
      <color theme="8" tint="-0.249977111117893"/>
      <name val="游ゴシック"/>
      <family val="3"/>
      <charset val="128"/>
      <scheme val="minor"/>
    </font>
    <font>
      <b/>
      <sz val="12"/>
      <color theme="9" tint="-0.499984740745262"/>
      <name val="游ゴシック"/>
      <family val="3"/>
      <charset val="128"/>
      <scheme val="minor"/>
    </font>
    <font>
      <b/>
      <sz val="12"/>
      <color theme="5" tint="-0.499984740745262"/>
      <name val="游ゴシック"/>
      <family val="3"/>
      <charset val="128"/>
      <scheme val="minor"/>
    </font>
    <font>
      <b/>
      <sz val="10"/>
      <color theme="1"/>
      <name val="游ゴシック"/>
      <family val="3"/>
      <charset val="128"/>
      <scheme val="minor"/>
    </font>
    <font>
      <sz val="9"/>
      <color theme="0"/>
      <name val="游ゴシック"/>
      <family val="3"/>
      <charset val="128"/>
      <scheme val="minor"/>
    </font>
    <font>
      <b/>
      <sz val="12"/>
      <color rgb="FF002060"/>
      <name val="游ゴシック"/>
      <family val="3"/>
      <charset val="128"/>
      <scheme val="minor"/>
    </font>
    <font>
      <b/>
      <sz val="12"/>
      <color rgb="FFFF0000"/>
      <name val="游ゴシック"/>
      <family val="3"/>
      <charset val="128"/>
      <scheme val="minor"/>
    </font>
    <font>
      <b/>
      <sz val="11"/>
      <color rgb="FFCC06B4"/>
      <name val="游ゴシック"/>
      <family val="3"/>
      <charset val="128"/>
      <scheme val="minor"/>
    </font>
    <font>
      <sz val="11"/>
      <color theme="0" tint="-0.34998626667073579"/>
      <name val="游ゴシック"/>
      <family val="2"/>
      <charset val="128"/>
      <scheme val="minor"/>
    </font>
    <font>
      <b/>
      <sz val="12"/>
      <color rgb="FFCC06B4"/>
      <name val="游ゴシック"/>
      <family val="3"/>
      <charset val="128"/>
      <scheme val="minor"/>
    </font>
    <font>
      <sz val="11"/>
      <color rgb="FFCC06B4"/>
      <name val="游ゴシック"/>
      <family val="3"/>
      <charset val="128"/>
      <scheme val="minor"/>
    </font>
    <font>
      <b/>
      <sz val="9"/>
      <color theme="9" tint="-0.499984740745262"/>
      <name val="游ゴシック"/>
      <family val="3"/>
      <charset val="128"/>
      <scheme val="minor"/>
    </font>
    <font>
      <b/>
      <sz val="11"/>
      <color rgb="FFFFE5FF"/>
      <name val="游ゴシック"/>
      <family val="3"/>
      <charset val="128"/>
      <scheme val="minor"/>
    </font>
    <font>
      <sz val="8"/>
      <color theme="1"/>
      <name val="游ゴシック"/>
      <family val="2"/>
      <charset val="128"/>
      <scheme val="minor"/>
    </font>
    <font>
      <b/>
      <sz val="9"/>
      <color theme="8"/>
      <name val="游ゴシック"/>
      <family val="3"/>
      <charset val="128"/>
      <scheme val="minor"/>
    </font>
    <font>
      <sz val="11"/>
      <color theme="8"/>
      <name val="游ゴシック"/>
      <family val="2"/>
      <charset val="128"/>
      <scheme val="minor"/>
    </font>
    <font>
      <sz val="11"/>
      <color rgb="FFFF0000"/>
      <name val="游ゴシック"/>
      <family val="2"/>
      <charset val="128"/>
      <scheme val="minor"/>
    </font>
    <font>
      <b/>
      <sz val="11"/>
      <color rgb="FFFB71EB"/>
      <name val="游ゴシック"/>
      <family val="3"/>
      <charset val="128"/>
      <scheme val="minor"/>
    </font>
  </fonts>
  <fills count="22">
    <fill>
      <patternFill patternType="none"/>
    </fill>
    <fill>
      <patternFill patternType="gray125"/>
    </fill>
    <fill>
      <patternFill patternType="solid">
        <fgColor theme="9"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E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002060"/>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rgb="FFFFCCFF"/>
        <bgColor indexed="64"/>
      </patternFill>
    </fill>
    <fill>
      <patternFill patternType="solid">
        <fgColor rgb="FFFFE5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top style="thin">
        <color theme="0"/>
      </top>
      <bottom style="thin">
        <color theme="0"/>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indexed="64"/>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indexed="64"/>
      </right>
      <top/>
      <bottom/>
      <diagonal/>
    </border>
    <border>
      <left style="thin">
        <color indexed="64"/>
      </left>
      <right style="thin">
        <color theme="0"/>
      </right>
      <top style="thin">
        <color indexed="64"/>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medium">
        <color indexed="64"/>
      </right>
      <top/>
      <bottom/>
      <diagonal/>
    </border>
    <border>
      <left/>
      <right/>
      <top style="thin">
        <color indexed="64"/>
      </top>
      <bottom/>
      <diagonal/>
    </border>
    <border>
      <left/>
      <right/>
      <top style="thin">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right/>
      <top/>
      <bottom style="thick">
        <color rgb="FFFF0000"/>
      </bottom>
      <diagonal/>
    </border>
    <border>
      <left style="thin">
        <color theme="0" tint="-0.249977111117893"/>
      </left>
      <right style="thin">
        <color theme="0" tint="-0.249977111117893"/>
      </right>
      <top style="thick">
        <color rgb="FFFF0000"/>
      </top>
      <bottom style="thick">
        <color rgb="FFFF0000"/>
      </bottom>
      <diagonal/>
    </border>
    <border>
      <left/>
      <right/>
      <top style="thick">
        <color rgb="FFFF0000"/>
      </top>
      <bottom style="thick">
        <color rgb="FFFF0000"/>
      </bottom>
      <diagonal/>
    </border>
    <border>
      <left/>
      <right style="thin">
        <color theme="0" tint="-0.24994659260841701"/>
      </right>
      <top style="thick">
        <color rgb="FFFF0000"/>
      </top>
      <bottom style="thick">
        <color rgb="FFFF0000"/>
      </bottom>
      <diagonal/>
    </border>
    <border>
      <left style="thin">
        <color theme="0" tint="-0.24994659260841701"/>
      </left>
      <right style="thin">
        <color theme="0" tint="-0.24994659260841701"/>
      </right>
      <top style="thick">
        <color rgb="FFFF0000"/>
      </top>
      <bottom style="thick">
        <color rgb="FFFF0000"/>
      </bottom>
      <diagonal/>
    </border>
    <border>
      <left style="thin">
        <color theme="0" tint="-0.24994659260841701"/>
      </left>
      <right style="thick">
        <color rgb="FFFF0000"/>
      </right>
      <top style="thick">
        <color rgb="FFFF0000"/>
      </top>
      <bottom style="thick">
        <color rgb="FFFF0000"/>
      </bottom>
      <diagonal/>
    </border>
    <border>
      <left/>
      <right style="thin">
        <color theme="0" tint="-0.249977111117893"/>
      </right>
      <top style="thick">
        <color rgb="FFFF0000"/>
      </top>
      <bottom style="thick">
        <color rgb="FFFF0000"/>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bottom>
      <diagonal/>
    </border>
    <border>
      <left style="thin">
        <color theme="0"/>
      </left>
      <right/>
      <top/>
      <bottom style="thin">
        <color indexed="64"/>
      </bottom>
      <diagonal/>
    </border>
    <border>
      <left style="thick">
        <color rgb="FFFF0000"/>
      </left>
      <right/>
      <top/>
      <bottom style="thick">
        <color rgb="FFFF0000"/>
      </bottom>
      <diagonal/>
    </border>
    <border>
      <left/>
      <right style="thin">
        <color theme="0" tint="-0.249977111117893"/>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theme="0"/>
      </left>
      <right/>
      <top/>
      <bottom/>
      <diagonal/>
    </border>
    <border>
      <left style="medium">
        <color indexed="64"/>
      </left>
      <right/>
      <top/>
      <bottom style="thin">
        <color indexed="64"/>
      </bottom>
      <diagonal/>
    </border>
    <border>
      <left/>
      <right style="thin">
        <color rgb="FF002060"/>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9">
    <xf numFmtId="0" fontId="0" fillId="0" borderId="0" xfId="0">
      <alignment vertical="center"/>
    </xf>
    <xf numFmtId="0" fontId="0" fillId="0" borderId="1" xfId="0" applyBorder="1">
      <alignment vertical="center"/>
    </xf>
    <xf numFmtId="38" fontId="0" fillId="0" borderId="0" xfId="1" applyFont="1">
      <alignment vertical="center"/>
    </xf>
    <xf numFmtId="38" fontId="0" fillId="0" borderId="0" xfId="0" applyNumberFormat="1" applyAlignment="1">
      <alignment horizontal="center" vertical="center"/>
    </xf>
    <xf numFmtId="0" fontId="0" fillId="0" borderId="0" xfId="0" applyAlignment="1">
      <alignment horizontal="center" vertical="center"/>
    </xf>
    <xf numFmtId="0" fontId="0" fillId="3" borderId="1" xfId="0" applyFill="1" applyBorder="1">
      <alignment vertical="center"/>
    </xf>
    <xf numFmtId="0" fontId="6" fillId="2" borderId="0" xfId="0" applyFont="1" applyFill="1">
      <alignment vertical="center"/>
    </xf>
    <xf numFmtId="0" fontId="5" fillId="0" borderId="0" xfId="0" applyFont="1">
      <alignment vertical="center"/>
    </xf>
    <xf numFmtId="0" fontId="0" fillId="0" borderId="3" xfId="0" applyBorder="1">
      <alignment vertical="center"/>
    </xf>
    <xf numFmtId="38" fontId="0" fillId="0" borderId="1" xfId="1" applyFont="1" applyBorder="1">
      <alignment vertical="center"/>
    </xf>
    <xf numFmtId="0" fontId="8" fillId="7" borderId="1" xfId="0" applyFont="1" applyFill="1" applyBorder="1" applyAlignment="1">
      <alignment horizontal="center" vertical="center"/>
    </xf>
    <xf numFmtId="0" fontId="8" fillId="0" borderId="0" xfId="0" applyFont="1" applyAlignment="1">
      <alignment horizontal="center" vertical="center"/>
    </xf>
    <xf numFmtId="0" fontId="0" fillId="9" borderId="0" xfId="0" applyFill="1">
      <alignment vertical="center"/>
    </xf>
    <xf numFmtId="0" fontId="14" fillId="9" borderId="0" xfId="0" applyFont="1" applyFill="1">
      <alignment vertical="center"/>
    </xf>
    <xf numFmtId="0" fontId="8" fillId="7" borderId="5" xfId="0" applyFont="1" applyFill="1" applyBorder="1" applyAlignment="1">
      <alignment horizontal="center" vertical="center"/>
    </xf>
    <xf numFmtId="0" fontId="0" fillId="3" borderId="5" xfId="0" applyFill="1" applyBorder="1">
      <alignment vertical="center"/>
    </xf>
    <xf numFmtId="0" fontId="7" fillId="9" borderId="0" xfId="0" applyFont="1" applyFill="1">
      <alignment vertical="center"/>
    </xf>
    <xf numFmtId="0" fontId="15" fillId="0" borderId="0" xfId="0" applyFont="1" applyAlignment="1">
      <alignment horizontal="center" vertical="center"/>
    </xf>
    <xf numFmtId="0" fontId="16" fillId="9" borderId="0" xfId="0" applyFont="1" applyFill="1">
      <alignment vertical="center"/>
    </xf>
    <xf numFmtId="0" fontId="17" fillId="9" borderId="0" xfId="0" applyFont="1" applyFill="1">
      <alignment vertical="center"/>
    </xf>
    <xf numFmtId="0" fontId="20" fillId="9" borderId="8" xfId="0" applyFont="1" applyFill="1" applyBorder="1" applyAlignment="1">
      <alignment vertical="center" wrapText="1"/>
    </xf>
    <xf numFmtId="0" fontId="21" fillId="9" borderId="8" xfId="0" applyFont="1" applyFill="1" applyBorder="1" applyAlignment="1">
      <alignment vertical="center" wrapText="1"/>
    </xf>
    <xf numFmtId="0" fontId="20" fillId="9" borderId="8" xfId="0" applyFont="1" applyFill="1" applyBorder="1">
      <alignment vertical="center"/>
    </xf>
    <xf numFmtId="0" fontId="21" fillId="9" borderId="9" xfId="0" applyFont="1" applyFill="1" applyBorder="1" applyAlignment="1">
      <alignment vertical="center" wrapText="1"/>
    </xf>
    <xf numFmtId="0" fontId="0" fillId="0" borderId="7" xfId="0" applyBorder="1">
      <alignment vertical="center"/>
    </xf>
    <xf numFmtId="0" fontId="0" fillId="5" borderId="8" xfId="0" applyFill="1" applyBorder="1">
      <alignment vertical="center"/>
    </xf>
    <xf numFmtId="0" fontId="0" fillId="0" borderId="8" xfId="0" applyBorder="1">
      <alignment vertical="center"/>
    </xf>
    <xf numFmtId="0" fontId="0" fillId="4" borderId="8" xfId="0" applyFill="1" applyBorder="1">
      <alignment vertical="center"/>
    </xf>
    <xf numFmtId="0" fontId="0" fillId="6" borderId="8" xfId="0" applyFill="1" applyBorder="1">
      <alignment vertical="center"/>
    </xf>
    <xf numFmtId="0" fontId="0" fillId="0" borderId="10" xfId="0" applyBorder="1">
      <alignment vertical="center"/>
    </xf>
    <xf numFmtId="0" fontId="0" fillId="5" borderId="0" xfId="0" applyFill="1" applyAlignment="1">
      <alignment horizontal="center" vertical="center"/>
    </xf>
    <xf numFmtId="0" fontId="0" fillId="4" borderId="0" xfId="0" applyFill="1" applyAlignment="1">
      <alignment horizontal="center" vertical="center"/>
    </xf>
    <xf numFmtId="0" fontId="0" fillId="6" borderId="0" xfId="0" applyFill="1" applyAlignment="1">
      <alignment horizontal="center" vertical="center"/>
    </xf>
    <xf numFmtId="0" fontId="0" fillId="0" borderId="13" xfId="0" applyBorder="1">
      <alignment vertical="center"/>
    </xf>
    <xf numFmtId="38" fontId="0" fillId="9" borderId="0" xfId="1" applyFont="1" applyFill="1" applyBorder="1">
      <alignment vertical="center"/>
    </xf>
    <xf numFmtId="0" fontId="0" fillId="0" borderId="12" xfId="0" applyBorder="1">
      <alignment vertical="center"/>
    </xf>
    <xf numFmtId="0" fontId="20" fillId="9" borderId="0" xfId="0" applyFont="1" applyFill="1" applyAlignment="1">
      <alignment vertical="center" wrapText="1"/>
    </xf>
    <xf numFmtId="0" fontId="21" fillId="9" borderId="0" xfId="0" applyFont="1" applyFill="1" applyAlignment="1">
      <alignment vertical="center" wrapText="1"/>
    </xf>
    <xf numFmtId="0" fontId="20" fillId="9" borderId="0" xfId="0" applyFont="1" applyFill="1">
      <alignment vertical="center"/>
    </xf>
    <xf numFmtId="38" fontId="0" fillId="0" borderId="1" xfId="0" applyNumberFormat="1" applyBorder="1">
      <alignment vertical="center"/>
    </xf>
    <xf numFmtId="38" fontId="0" fillId="0" borderId="17" xfId="1" applyFont="1" applyFill="1" applyBorder="1">
      <alignment vertical="center"/>
    </xf>
    <xf numFmtId="38" fontId="0" fillId="0" borderId="19" xfId="1" applyFont="1" applyFill="1" applyBorder="1">
      <alignment vertical="center"/>
    </xf>
    <xf numFmtId="38" fontId="0" fillId="0" borderId="18" xfId="1" applyFont="1" applyFill="1" applyBorder="1">
      <alignment vertical="center"/>
    </xf>
    <xf numFmtId="38" fontId="0" fillId="9" borderId="17" xfId="1" applyFont="1" applyFill="1" applyBorder="1">
      <alignment vertical="center"/>
    </xf>
    <xf numFmtId="38" fontId="0" fillId="9" borderId="19" xfId="1" applyFont="1" applyFill="1" applyBorder="1">
      <alignment vertical="center"/>
    </xf>
    <xf numFmtId="38" fontId="0" fillId="9" borderId="18" xfId="1" applyFont="1" applyFill="1" applyBorder="1">
      <alignment vertical="center"/>
    </xf>
    <xf numFmtId="9" fontId="0" fillId="0" borderId="0" xfId="2" applyFont="1">
      <alignment vertical="center"/>
    </xf>
    <xf numFmtId="38" fontId="0" fillId="0" borderId="0" xfId="0" applyNumberFormat="1">
      <alignment vertical="center"/>
    </xf>
    <xf numFmtId="0" fontId="0" fillId="9" borderId="16" xfId="0" applyFill="1" applyBorder="1">
      <alignment vertical="center"/>
    </xf>
    <xf numFmtId="0" fontId="23" fillId="5" borderId="0" xfId="0" applyFont="1" applyFill="1" applyAlignment="1">
      <alignment horizontal="center" vertical="center"/>
    </xf>
    <xf numFmtId="38" fontId="24" fillId="5" borderId="0" xfId="1" applyFont="1" applyFill="1" applyBorder="1">
      <alignment vertical="center"/>
    </xf>
    <xf numFmtId="0" fontId="24" fillId="0" borderId="0" xfId="0" applyFont="1" applyAlignment="1">
      <alignment horizontal="center" vertical="center"/>
    </xf>
    <xf numFmtId="38" fontId="24" fillId="0" borderId="0" xfId="1" applyFont="1" applyFill="1" applyBorder="1">
      <alignment vertical="center"/>
    </xf>
    <xf numFmtId="0" fontId="24" fillId="0" borderId="0" xfId="0" applyFont="1">
      <alignment vertical="center"/>
    </xf>
    <xf numFmtId="0" fontId="23" fillId="4" borderId="0" xfId="0" applyFont="1" applyFill="1" applyAlignment="1">
      <alignment horizontal="center" vertical="center"/>
    </xf>
    <xf numFmtId="38" fontId="24" fillId="4" borderId="0" xfId="1" applyFont="1" applyFill="1" applyBorder="1">
      <alignment vertical="center"/>
    </xf>
    <xf numFmtId="38" fontId="23" fillId="6" borderId="0" xfId="1" applyFont="1" applyFill="1">
      <alignment vertical="center"/>
    </xf>
    <xf numFmtId="0" fontId="23" fillId="0" borderId="0" xfId="0" applyFont="1">
      <alignment vertical="center"/>
    </xf>
    <xf numFmtId="0" fontId="23" fillId="6" borderId="0" xfId="0" applyFont="1" applyFill="1" applyAlignment="1">
      <alignment horizontal="center" vertical="center"/>
    </xf>
    <xf numFmtId="0" fontId="8" fillId="7" borderId="1" xfId="0" applyFont="1" applyFill="1" applyBorder="1">
      <alignment vertical="center"/>
    </xf>
    <xf numFmtId="0" fontId="4" fillId="0" borderId="0" xfId="0" applyFont="1">
      <alignment vertical="center"/>
    </xf>
    <xf numFmtId="38" fontId="4" fillId="3" borderId="5" xfId="0" applyNumberFormat="1" applyFont="1" applyFill="1" applyBorder="1">
      <alignment vertical="center"/>
    </xf>
    <xf numFmtId="0" fontId="4" fillId="3" borderId="1" xfId="0" applyFont="1" applyFill="1" applyBorder="1">
      <alignment vertical="center"/>
    </xf>
    <xf numFmtId="0" fontId="8" fillId="7" borderId="24" xfId="0" applyFont="1" applyFill="1" applyBorder="1" applyAlignment="1">
      <alignment horizontal="center" vertical="center"/>
    </xf>
    <xf numFmtId="0" fontId="8" fillId="7" borderId="25" xfId="0" applyFont="1" applyFill="1" applyBorder="1" applyAlignment="1">
      <alignment horizontal="center" vertical="center"/>
    </xf>
    <xf numFmtId="0" fontId="4" fillId="3" borderId="26" xfId="0" applyFont="1" applyFill="1" applyBorder="1">
      <alignment vertical="center"/>
    </xf>
    <xf numFmtId="0" fontId="0" fillId="3" borderId="27" xfId="0" applyFill="1" applyBorder="1">
      <alignment vertical="center"/>
    </xf>
    <xf numFmtId="0" fontId="0" fillId="0" borderId="4" xfId="0" applyBorder="1">
      <alignment vertical="center"/>
    </xf>
    <xf numFmtId="38" fontId="0" fillId="3" borderId="1" xfId="1" applyFont="1" applyFill="1" applyBorder="1">
      <alignment vertical="center"/>
    </xf>
    <xf numFmtId="0" fontId="9" fillId="0" borderId="0" xfId="0" applyFont="1">
      <alignment vertical="center"/>
    </xf>
    <xf numFmtId="0" fontId="12" fillId="3" borderId="1" xfId="0" applyFont="1" applyFill="1" applyBorder="1">
      <alignment vertical="center"/>
    </xf>
    <xf numFmtId="9" fontId="12" fillId="0" borderId="0" xfId="2" applyFont="1">
      <alignment vertical="center"/>
    </xf>
    <xf numFmtId="0" fontId="0" fillId="0" borderId="0" xfId="0" applyAlignment="1">
      <alignment vertical="center" wrapText="1"/>
    </xf>
    <xf numFmtId="0" fontId="27" fillId="4" borderId="12" xfId="0" applyFont="1" applyFill="1" applyBorder="1" applyAlignment="1">
      <alignment horizontal="center" vertical="center"/>
    </xf>
    <xf numFmtId="0" fontId="28" fillId="4" borderId="28" xfId="0" applyFont="1" applyFill="1" applyBorder="1" applyAlignment="1">
      <alignment horizontal="center" vertical="center"/>
    </xf>
    <xf numFmtId="0" fontId="28" fillId="4" borderId="11" xfId="0" applyFont="1" applyFill="1" applyBorder="1" applyAlignment="1">
      <alignment horizontal="center" vertical="center"/>
    </xf>
    <xf numFmtId="0" fontId="0" fillId="9" borderId="0" xfId="0" applyFill="1" applyAlignment="1">
      <alignment horizontal="right" vertical="center"/>
    </xf>
    <xf numFmtId="0" fontId="0" fillId="9" borderId="1" xfId="0" applyFill="1" applyBorder="1">
      <alignment vertical="center"/>
    </xf>
    <xf numFmtId="0" fontId="0" fillId="0" borderId="0" xfId="0" applyAlignment="1">
      <alignment horizontal="right" vertical="center"/>
    </xf>
    <xf numFmtId="38" fontId="0" fillId="4" borderId="10" xfId="1" applyFont="1" applyFill="1" applyBorder="1">
      <alignment vertical="center"/>
    </xf>
    <xf numFmtId="38" fontId="20" fillId="9" borderId="8" xfId="0" applyNumberFormat="1" applyFont="1" applyFill="1" applyBorder="1">
      <alignment vertical="center"/>
    </xf>
    <xf numFmtId="177" fontId="20" fillId="9" borderId="8" xfId="0" applyNumberFormat="1" applyFont="1" applyFill="1" applyBorder="1">
      <alignment vertical="center"/>
    </xf>
    <xf numFmtId="38" fontId="20" fillId="9" borderId="8" xfId="1" applyFont="1" applyFill="1" applyBorder="1">
      <alignment vertical="center"/>
    </xf>
    <xf numFmtId="38" fontId="20" fillId="9" borderId="9" xfId="0" applyNumberFormat="1" applyFont="1" applyFill="1" applyBorder="1">
      <alignment vertical="center"/>
    </xf>
    <xf numFmtId="38" fontId="20" fillId="9" borderId="0" xfId="1" applyFont="1" applyFill="1" applyBorder="1">
      <alignment vertical="center"/>
    </xf>
    <xf numFmtId="38" fontId="20" fillId="9" borderId="20" xfId="1" applyFont="1" applyFill="1" applyBorder="1">
      <alignment vertical="center"/>
    </xf>
    <xf numFmtId="0" fontId="29" fillId="9" borderId="0" xfId="0" applyFont="1" applyFill="1">
      <alignment vertical="center"/>
    </xf>
    <xf numFmtId="38" fontId="20" fillId="9" borderId="1" xfId="0" applyNumberFormat="1" applyFont="1" applyFill="1" applyBorder="1">
      <alignment vertical="center"/>
    </xf>
    <xf numFmtId="0" fontId="0" fillId="9" borderId="1" xfId="0" applyFill="1" applyBorder="1" applyAlignment="1">
      <alignment horizontal="left" vertical="center"/>
    </xf>
    <xf numFmtId="38" fontId="4" fillId="3" borderId="1" xfId="0" applyNumberFormat="1" applyFont="1" applyFill="1" applyBorder="1">
      <alignment vertical="center"/>
    </xf>
    <xf numFmtId="38" fontId="0" fillId="3" borderId="26" xfId="1" applyFont="1" applyFill="1" applyBorder="1" applyAlignment="1">
      <alignment vertical="center"/>
    </xf>
    <xf numFmtId="0" fontId="21" fillId="0" borderId="0" xfId="0" applyFont="1" applyAlignment="1">
      <alignment vertical="center" wrapText="1"/>
    </xf>
    <xf numFmtId="0" fontId="20" fillId="0" borderId="0" xfId="0" applyFont="1">
      <alignment vertical="center"/>
    </xf>
    <xf numFmtId="0" fontId="0" fillId="0" borderId="0" xfId="0" applyAlignment="1">
      <alignment horizontal="left" vertical="center"/>
    </xf>
    <xf numFmtId="38" fontId="11" fillId="0" borderId="0" xfId="0" applyNumberFormat="1" applyFont="1">
      <alignment vertical="center"/>
    </xf>
    <xf numFmtId="0" fontId="9" fillId="10" borderId="33" xfId="0" applyFont="1" applyFill="1" applyBorder="1" applyAlignment="1">
      <alignment horizontal="center" vertical="center"/>
    </xf>
    <xf numFmtId="0" fontId="12" fillId="9" borderId="33" xfId="0" applyFont="1" applyFill="1" applyBorder="1" applyAlignment="1">
      <alignment horizontal="center" vertical="center"/>
    </xf>
    <xf numFmtId="0" fontId="12" fillId="10" borderId="33" xfId="0" applyFont="1" applyFill="1" applyBorder="1" applyAlignment="1">
      <alignment horizontal="center" vertical="center"/>
    </xf>
    <xf numFmtId="38" fontId="0" fillId="6" borderId="1" xfId="1" applyFont="1" applyFill="1" applyBorder="1">
      <alignment vertical="center"/>
    </xf>
    <xf numFmtId="38" fontId="0" fillId="4" borderId="1" xfId="1" applyFont="1" applyFill="1" applyBorder="1">
      <alignment vertical="center"/>
    </xf>
    <xf numFmtId="177" fontId="24" fillId="5" borderId="0" xfId="0" applyNumberFormat="1" applyFont="1" applyFill="1">
      <alignment vertical="center"/>
    </xf>
    <xf numFmtId="177" fontId="22" fillId="5" borderId="0" xfId="0" applyNumberFormat="1" applyFont="1" applyFill="1">
      <alignment vertical="center"/>
    </xf>
    <xf numFmtId="177" fontId="24" fillId="4" borderId="0" xfId="0" applyNumberFormat="1" applyFont="1" applyFill="1">
      <alignment vertical="center"/>
    </xf>
    <xf numFmtId="177" fontId="23" fillId="6" borderId="0" xfId="0" applyNumberFormat="1" applyFont="1" applyFill="1">
      <alignment vertical="center"/>
    </xf>
    <xf numFmtId="0" fontId="19" fillId="8" borderId="0" xfId="0" quotePrefix="1" applyFont="1" applyFill="1" applyAlignment="1">
      <alignment horizontal="centerContinuous" vertical="center"/>
    </xf>
    <xf numFmtId="38" fontId="10" fillId="0" borderId="31" xfId="1" applyFont="1" applyBorder="1" applyAlignment="1">
      <alignment horizontal="center" vertical="center"/>
    </xf>
    <xf numFmtId="0" fontId="12" fillId="0" borderId="0" xfId="0" applyFont="1" applyAlignment="1">
      <alignment horizontal="left" vertical="center"/>
    </xf>
    <xf numFmtId="0" fontId="8" fillId="0" borderId="0" xfId="0" applyFont="1">
      <alignment vertical="center"/>
    </xf>
    <xf numFmtId="0" fontId="31" fillId="0" borderId="1" xfId="0" applyFont="1" applyBorder="1" applyAlignment="1">
      <alignment horizontal="center" vertical="center"/>
    </xf>
    <xf numFmtId="0" fontId="33" fillId="0" borderId="0" xfId="0" applyFont="1" applyAlignment="1">
      <alignment horizontal="right" vertical="center"/>
    </xf>
    <xf numFmtId="38" fontId="36" fillId="0" borderId="31" xfId="1" applyFont="1" applyBorder="1" applyAlignment="1">
      <alignment horizontal="center" vertical="center"/>
    </xf>
    <xf numFmtId="38" fontId="0" fillId="5" borderId="10" xfId="0" applyNumberFormat="1" applyFill="1" applyBorder="1">
      <alignment vertical="center"/>
    </xf>
    <xf numFmtId="0" fontId="8" fillId="7" borderId="5" xfId="0" applyFont="1" applyFill="1" applyBorder="1">
      <alignment vertical="center"/>
    </xf>
    <xf numFmtId="38" fontId="0" fillId="5" borderId="5" xfId="1" applyFont="1" applyFill="1" applyBorder="1">
      <alignment vertical="center"/>
    </xf>
    <xf numFmtId="38" fontId="20" fillId="0" borderId="0" xfId="0" applyNumberFormat="1" applyFont="1">
      <alignment vertical="center"/>
    </xf>
    <xf numFmtId="0" fontId="0" fillId="0" borderId="34" xfId="0" applyBorder="1" applyAlignment="1">
      <alignment horizontal="left" vertical="center"/>
    </xf>
    <xf numFmtId="0" fontId="0" fillId="0" borderId="34" xfId="0" applyBorder="1">
      <alignment vertical="center"/>
    </xf>
    <xf numFmtId="0" fontId="30" fillId="16" borderId="35" xfId="0" applyFont="1" applyFill="1" applyBorder="1" applyAlignment="1">
      <alignment horizontal="center" vertical="center"/>
    </xf>
    <xf numFmtId="0" fontId="8" fillId="0" borderId="38" xfId="0" applyFont="1" applyBorder="1" applyAlignment="1">
      <alignment horizontal="center" vertical="center"/>
    </xf>
    <xf numFmtId="0" fontId="8" fillId="0" borderId="4" xfId="0" applyFont="1" applyBorder="1" applyAlignment="1">
      <alignment horizontal="center" vertical="center"/>
    </xf>
    <xf numFmtId="0" fontId="38" fillId="0" borderId="13" xfId="0" applyFont="1" applyBorder="1" applyAlignment="1">
      <alignment horizontal="center" vertical="center"/>
    </xf>
    <xf numFmtId="0" fontId="37" fillId="0" borderId="13" xfId="0" applyFont="1" applyBorder="1" applyAlignment="1">
      <alignment horizontal="center" vertical="center"/>
    </xf>
    <xf numFmtId="0" fontId="0" fillId="0" borderId="13" xfId="0" applyBorder="1" applyAlignment="1">
      <alignment horizontal="center" vertical="center"/>
    </xf>
    <xf numFmtId="38" fontId="40" fillId="11" borderId="0" xfId="0" applyNumberFormat="1" applyFont="1" applyFill="1">
      <alignment vertical="center"/>
    </xf>
    <xf numFmtId="38" fontId="37" fillId="12" borderId="0" xfId="0" applyNumberFormat="1" applyFont="1" applyFill="1">
      <alignment vertical="center"/>
    </xf>
    <xf numFmtId="176" fontId="37" fillId="12" borderId="14" xfId="0" applyNumberFormat="1" applyFont="1" applyFill="1" applyBorder="1">
      <alignment vertical="center"/>
    </xf>
    <xf numFmtId="38" fontId="39" fillId="13" borderId="0" xfId="0" applyNumberFormat="1" applyFont="1" applyFill="1">
      <alignment vertical="center"/>
    </xf>
    <xf numFmtId="0" fontId="0" fillId="0" borderId="24" xfId="0" applyBorder="1">
      <alignment vertical="center"/>
    </xf>
    <xf numFmtId="38" fontId="0" fillId="0" borderId="39" xfId="1" applyFont="1" applyBorder="1">
      <alignment vertical="center"/>
    </xf>
    <xf numFmtId="0" fontId="0" fillId="0" borderId="39" xfId="0" applyBorder="1">
      <alignment vertical="center"/>
    </xf>
    <xf numFmtId="9" fontId="0" fillId="0" borderId="39" xfId="0" applyNumberFormat="1" applyBorder="1">
      <alignment vertical="center"/>
    </xf>
    <xf numFmtId="0" fontId="0" fillId="0" borderId="25" xfId="0" applyBorder="1">
      <alignment vertical="center"/>
    </xf>
    <xf numFmtId="38" fontId="0" fillId="0" borderId="0" xfId="1" applyFont="1" applyBorder="1">
      <alignment vertical="center"/>
    </xf>
    <xf numFmtId="9" fontId="0" fillId="0" borderId="0" xfId="0" applyNumberFormat="1">
      <alignment vertical="center"/>
    </xf>
    <xf numFmtId="0" fontId="0" fillId="0" borderId="26" xfId="0" applyBorder="1">
      <alignment vertical="center"/>
    </xf>
    <xf numFmtId="38" fontId="0" fillId="0" borderId="7" xfId="1" applyFont="1" applyBorder="1">
      <alignment vertical="center"/>
    </xf>
    <xf numFmtId="9" fontId="0" fillId="0" borderId="7" xfId="0" applyNumberFormat="1" applyBorder="1">
      <alignment vertical="center"/>
    </xf>
    <xf numFmtId="0" fontId="0" fillId="0" borderId="27" xfId="0" applyBorder="1">
      <alignment vertical="center"/>
    </xf>
    <xf numFmtId="0" fontId="0" fillId="0" borderId="32" xfId="0" applyBorder="1">
      <alignment vertical="center"/>
    </xf>
    <xf numFmtId="38" fontId="0" fillId="0" borderId="40" xfId="1" applyFont="1" applyBorder="1">
      <alignment vertical="center"/>
    </xf>
    <xf numFmtId="0" fontId="0" fillId="0" borderId="40" xfId="0" applyBorder="1">
      <alignment vertical="center"/>
    </xf>
    <xf numFmtId="9" fontId="0" fillId="0" borderId="40" xfId="0" applyNumberFormat="1" applyBorder="1">
      <alignment vertical="center"/>
    </xf>
    <xf numFmtId="0" fontId="0" fillId="0" borderId="5" xfId="0" applyBorder="1">
      <alignment vertical="center"/>
    </xf>
    <xf numFmtId="0" fontId="21" fillId="9" borderId="0" xfId="0" applyFont="1" applyFill="1">
      <alignment vertical="center"/>
    </xf>
    <xf numFmtId="0" fontId="12" fillId="9" borderId="41" xfId="0" applyFont="1" applyFill="1" applyBorder="1" applyAlignment="1">
      <alignment horizontal="center" vertical="center"/>
    </xf>
    <xf numFmtId="0" fontId="0" fillId="9" borderId="42" xfId="0" applyFill="1" applyBorder="1">
      <alignment vertical="center"/>
    </xf>
    <xf numFmtId="38" fontId="0" fillId="9" borderId="42" xfId="1" applyFont="1" applyFill="1" applyBorder="1">
      <alignment vertical="center"/>
    </xf>
    <xf numFmtId="0" fontId="9" fillId="10" borderId="43" xfId="0" applyFont="1" applyFill="1" applyBorder="1" applyAlignment="1">
      <alignment horizontal="center" vertical="center"/>
    </xf>
    <xf numFmtId="0" fontId="0" fillId="9" borderId="44" xfId="0" applyFill="1" applyBorder="1">
      <alignment vertical="center"/>
    </xf>
    <xf numFmtId="38" fontId="0" fillId="0" borderId="45" xfId="1" applyFont="1" applyFill="1" applyBorder="1">
      <alignment vertical="center"/>
    </xf>
    <xf numFmtId="38" fontId="0" fillId="0" borderId="46" xfId="1" applyFont="1" applyFill="1" applyBorder="1">
      <alignment vertical="center"/>
    </xf>
    <xf numFmtId="38" fontId="0" fillId="0" borderId="47" xfId="1" applyFont="1" applyFill="1" applyBorder="1">
      <alignment vertical="center"/>
    </xf>
    <xf numFmtId="0" fontId="9" fillId="10" borderId="48" xfId="0" quotePrefix="1" applyFont="1" applyFill="1" applyBorder="1" applyAlignment="1">
      <alignment horizontal="center" vertical="center"/>
    </xf>
    <xf numFmtId="0" fontId="4" fillId="8" borderId="49" xfId="0" applyFont="1" applyFill="1" applyBorder="1" applyAlignment="1">
      <alignment horizontal="centerContinuous" vertical="center"/>
    </xf>
    <xf numFmtId="0" fontId="0" fillId="9" borderId="49" xfId="0" applyFill="1" applyBorder="1">
      <alignment vertical="center"/>
    </xf>
    <xf numFmtId="0" fontId="4" fillId="8" borderId="14" xfId="0" applyFont="1" applyFill="1" applyBorder="1" applyAlignment="1">
      <alignment horizontal="center" vertical="center"/>
    </xf>
    <xf numFmtId="0" fontId="4" fillId="8" borderId="51" xfId="0" applyFont="1" applyFill="1" applyBorder="1" applyAlignment="1">
      <alignment horizontal="center" vertical="center"/>
    </xf>
    <xf numFmtId="0" fontId="0" fillId="9" borderId="50" xfId="0" applyFill="1" applyBorder="1">
      <alignment vertical="center"/>
    </xf>
    <xf numFmtId="0" fontId="2" fillId="0" borderId="0" xfId="0" applyFont="1">
      <alignment vertical="center"/>
    </xf>
    <xf numFmtId="0" fontId="20" fillId="4" borderId="0" xfId="0" quotePrefix="1" applyFont="1" applyFill="1">
      <alignment vertical="center"/>
    </xf>
    <xf numFmtId="0" fontId="21" fillId="0" borderId="0" xfId="0" applyFont="1">
      <alignment vertical="center"/>
    </xf>
    <xf numFmtId="0" fontId="45" fillId="2" borderId="29" xfId="0" applyFont="1" applyFill="1" applyBorder="1">
      <alignment vertical="center"/>
    </xf>
    <xf numFmtId="0" fontId="45" fillId="2" borderId="30" xfId="0" applyFont="1" applyFill="1" applyBorder="1">
      <alignment vertical="center"/>
    </xf>
    <xf numFmtId="0" fontId="21" fillId="4" borderId="0" xfId="0" applyFont="1" applyFill="1">
      <alignment vertical="center"/>
    </xf>
    <xf numFmtId="0" fontId="21" fillId="4" borderId="12" xfId="0" quotePrefix="1" applyFont="1" applyFill="1" applyBorder="1">
      <alignment vertical="center"/>
    </xf>
    <xf numFmtId="0" fontId="21" fillId="4" borderId="28" xfId="0" quotePrefix="1" applyFont="1" applyFill="1" applyBorder="1" applyAlignment="1">
      <alignment horizontal="center" vertical="center"/>
    </xf>
    <xf numFmtId="0" fontId="21" fillId="4" borderId="0" xfId="0" quotePrefix="1" applyFont="1" applyFill="1" applyAlignment="1">
      <alignment horizontal="center" vertical="center"/>
    </xf>
    <xf numFmtId="0" fontId="21" fillId="0" borderId="12" xfId="0" applyFont="1" applyBorder="1">
      <alignment vertical="center"/>
    </xf>
    <xf numFmtId="0" fontId="21" fillId="0" borderId="28" xfId="0" applyFont="1" applyBorder="1">
      <alignment vertical="center"/>
    </xf>
    <xf numFmtId="0" fontId="21" fillId="4" borderId="28" xfId="0" applyFont="1" applyFill="1" applyBorder="1">
      <alignment vertical="center"/>
    </xf>
    <xf numFmtId="0" fontId="21" fillId="0" borderId="11" xfId="0" applyFont="1" applyBorder="1">
      <alignment vertical="center"/>
    </xf>
    <xf numFmtId="0" fontId="27" fillId="4" borderId="52" xfId="0" applyFont="1" applyFill="1" applyBorder="1" applyAlignment="1">
      <alignment horizontal="center" vertical="center" wrapText="1"/>
    </xf>
    <xf numFmtId="0" fontId="6" fillId="2" borderId="12" xfId="0" applyFont="1" applyFill="1" applyBorder="1">
      <alignment vertical="center"/>
    </xf>
    <xf numFmtId="0" fontId="20" fillId="4" borderId="12" xfId="0" quotePrefix="1" applyFont="1" applyFill="1" applyBorder="1">
      <alignment vertical="center"/>
    </xf>
    <xf numFmtId="0" fontId="21" fillId="4" borderId="12" xfId="0" applyFont="1" applyFill="1" applyBorder="1">
      <alignment vertical="center"/>
    </xf>
    <xf numFmtId="0" fontId="2" fillId="2" borderId="12" xfId="0" applyFont="1" applyFill="1" applyBorder="1">
      <alignment vertical="center"/>
    </xf>
    <xf numFmtId="0" fontId="0" fillId="0" borderId="14" xfId="0" applyBorder="1">
      <alignment vertical="center"/>
    </xf>
    <xf numFmtId="176" fontId="40" fillId="11" borderId="12" xfId="0" applyNumberFormat="1" applyFont="1" applyFill="1" applyBorder="1">
      <alignment vertical="center"/>
    </xf>
    <xf numFmtId="176" fontId="39" fillId="13" borderId="12" xfId="0" applyNumberFormat="1" applyFont="1" applyFill="1" applyBorder="1">
      <alignment vertical="center"/>
    </xf>
    <xf numFmtId="38" fontId="8" fillId="17" borderId="1" xfId="1" applyFont="1" applyFill="1" applyBorder="1" applyAlignment="1">
      <alignment horizontal="center" vertical="center"/>
    </xf>
    <xf numFmtId="38" fontId="8" fillId="18" borderId="1" xfId="1" applyFont="1" applyFill="1" applyBorder="1" applyAlignment="1">
      <alignment horizontal="center" vertical="center"/>
    </xf>
    <xf numFmtId="0" fontId="2" fillId="19" borderId="0" xfId="0" applyFont="1" applyFill="1">
      <alignment vertical="center"/>
    </xf>
    <xf numFmtId="0" fontId="20" fillId="5" borderId="0" xfId="0" quotePrefix="1" applyFont="1" applyFill="1">
      <alignment vertical="center"/>
    </xf>
    <xf numFmtId="0" fontId="21" fillId="5" borderId="0" xfId="0" applyFont="1" applyFill="1">
      <alignment vertical="center"/>
    </xf>
    <xf numFmtId="38" fontId="15" fillId="3" borderId="1" xfId="1" applyFont="1" applyFill="1" applyBorder="1">
      <alignment vertical="center"/>
    </xf>
    <xf numFmtId="0" fontId="0" fillId="0" borderId="0" xfId="0" applyAlignment="1">
      <alignment horizontal="left" vertical="center" indent="1"/>
    </xf>
    <xf numFmtId="38" fontId="2" fillId="3" borderId="1" xfId="1" applyFont="1" applyFill="1" applyBorder="1">
      <alignment vertical="center"/>
    </xf>
    <xf numFmtId="38" fontId="4" fillId="3" borderId="1" xfId="1" applyFont="1" applyFill="1" applyBorder="1">
      <alignment vertical="center"/>
    </xf>
    <xf numFmtId="0" fontId="0" fillId="5" borderId="0" xfId="0" applyFill="1">
      <alignment vertical="center"/>
    </xf>
    <xf numFmtId="38" fontId="8" fillId="5" borderId="7" xfId="1" applyFont="1" applyFill="1" applyBorder="1" applyAlignment="1">
      <alignment horizontal="center" vertical="center"/>
    </xf>
    <xf numFmtId="38" fontId="0" fillId="5" borderId="7" xfId="1" applyFont="1" applyFill="1" applyBorder="1">
      <alignment vertical="center"/>
    </xf>
    <xf numFmtId="38" fontId="0" fillId="5" borderId="0" xfId="1" applyFont="1" applyFill="1" applyBorder="1">
      <alignment vertical="center"/>
    </xf>
    <xf numFmtId="0" fontId="46" fillId="5" borderId="0" xfId="0" applyFont="1" applyFill="1">
      <alignment vertical="center"/>
    </xf>
    <xf numFmtId="38" fontId="46" fillId="5" borderId="1" xfId="1" applyFont="1" applyFill="1" applyBorder="1" applyAlignment="1">
      <alignment horizontal="center" vertical="center"/>
    </xf>
    <xf numFmtId="0" fontId="37" fillId="0" borderId="0" xfId="0" applyFont="1">
      <alignment vertical="center"/>
    </xf>
    <xf numFmtId="0" fontId="0" fillId="21" borderId="8" xfId="0" applyFill="1" applyBorder="1">
      <alignment vertical="center"/>
    </xf>
    <xf numFmtId="38" fontId="0" fillId="21" borderId="1" xfId="1" applyFont="1" applyFill="1" applyBorder="1">
      <alignment vertical="center"/>
    </xf>
    <xf numFmtId="0" fontId="0" fillId="21" borderId="0" xfId="0" applyFill="1" applyAlignment="1">
      <alignment horizontal="center" vertical="center"/>
    </xf>
    <xf numFmtId="38" fontId="23" fillId="21" borderId="0" xfId="1" applyFont="1" applyFill="1">
      <alignment vertical="center"/>
    </xf>
    <xf numFmtId="177" fontId="23" fillId="21" borderId="0" xfId="0" applyNumberFormat="1" applyFont="1" applyFill="1">
      <alignment vertical="center"/>
    </xf>
    <xf numFmtId="38" fontId="48" fillId="20" borderId="0" xfId="0" applyNumberFormat="1" applyFont="1" applyFill="1">
      <alignment vertical="center"/>
    </xf>
    <xf numFmtId="177" fontId="49" fillId="4" borderId="0" xfId="0" applyNumberFormat="1" applyFont="1" applyFill="1">
      <alignment vertical="center"/>
    </xf>
    <xf numFmtId="177" fontId="49" fillId="6" borderId="0" xfId="0" applyNumberFormat="1" applyFont="1" applyFill="1">
      <alignment vertical="center"/>
    </xf>
    <xf numFmtId="177" fontId="49" fillId="21" borderId="0" xfId="0" applyNumberFormat="1" applyFont="1" applyFill="1">
      <alignment vertical="center"/>
    </xf>
    <xf numFmtId="0" fontId="14" fillId="9" borderId="57" xfId="0" applyFont="1" applyFill="1" applyBorder="1">
      <alignment vertical="center"/>
    </xf>
    <xf numFmtId="0" fontId="14" fillId="9" borderId="58" xfId="0" applyFont="1" applyFill="1" applyBorder="1">
      <alignment vertical="center"/>
    </xf>
    <xf numFmtId="0" fontId="18" fillId="0" borderId="0" xfId="0" applyFont="1">
      <alignment vertical="center"/>
    </xf>
    <xf numFmtId="0" fontId="30" fillId="16" borderId="11" xfId="0" applyFont="1" applyFill="1" applyBorder="1" applyAlignment="1">
      <alignment horizontal="centerContinuous" vertical="center" wrapText="1"/>
    </xf>
    <xf numFmtId="0" fontId="30" fillId="16" borderId="0" xfId="0" applyFont="1" applyFill="1" applyAlignment="1">
      <alignment horizontal="centerContinuous" vertical="center" wrapText="1"/>
    </xf>
    <xf numFmtId="0" fontId="32" fillId="0" borderId="32" xfId="0" applyFont="1" applyBorder="1" applyAlignment="1">
      <alignment horizontal="centerContinuous" vertical="center"/>
    </xf>
    <xf numFmtId="0" fontId="32" fillId="0" borderId="40" xfId="0" applyFont="1" applyBorder="1" applyAlignment="1">
      <alignment horizontal="centerContinuous" vertical="center"/>
    </xf>
    <xf numFmtId="0" fontId="32" fillId="0" borderId="5" xfId="0" applyFont="1" applyBorder="1" applyAlignment="1">
      <alignment horizontal="centerContinuous" vertical="center"/>
    </xf>
    <xf numFmtId="38" fontId="51" fillId="3" borderId="1" xfId="1" applyFont="1" applyFill="1" applyBorder="1">
      <alignment vertical="center"/>
    </xf>
    <xf numFmtId="38" fontId="50" fillId="3" borderId="1" xfId="1" applyFont="1" applyFill="1" applyBorder="1">
      <alignment vertical="center"/>
    </xf>
    <xf numFmtId="0" fontId="16" fillId="8" borderId="55" xfId="0" applyFont="1" applyFill="1" applyBorder="1" applyAlignment="1">
      <alignment horizontal="left"/>
    </xf>
    <xf numFmtId="0" fontId="0" fillId="8" borderId="56" xfId="0" applyFill="1" applyBorder="1" applyAlignment="1">
      <alignment horizontal="centerContinuous" vertical="center"/>
    </xf>
    <xf numFmtId="0" fontId="16" fillId="8" borderId="0" xfId="0" applyFont="1" applyFill="1">
      <alignment vertical="center"/>
    </xf>
    <xf numFmtId="0" fontId="16" fillId="8" borderId="0" xfId="0" applyFont="1" applyFill="1" applyAlignment="1">
      <alignment horizontal="left" vertical="center"/>
    </xf>
    <xf numFmtId="0" fontId="37" fillId="0" borderId="0" xfId="0" applyFont="1" applyAlignment="1">
      <alignment vertical="center" wrapText="1"/>
    </xf>
    <xf numFmtId="178" fontId="40" fillId="11" borderId="0" xfId="1" applyNumberFormat="1" applyFont="1" applyFill="1" applyBorder="1" applyAlignment="1">
      <alignment horizontal="center" vertical="center"/>
    </xf>
    <xf numFmtId="178" fontId="37" fillId="12" borderId="0" xfId="1" applyNumberFormat="1" applyFont="1" applyFill="1" applyBorder="1" applyAlignment="1">
      <alignment horizontal="center" vertical="center"/>
    </xf>
    <xf numFmtId="178" fontId="39" fillId="13" borderId="11" xfId="1" applyNumberFormat="1" applyFont="1" applyFill="1" applyBorder="1" applyAlignment="1">
      <alignment horizontal="center" vertical="center"/>
    </xf>
    <xf numFmtId="178" fontId="48" fillId="20" borderId="11" xfId="1" applyNumberFormat="1" applyFont="1" applyFill="1" applyBorder="1" applyAlignment="1">
      <alignment horizontal="center" vertical="center"/>
    </xf>
    <xf numFmtId="0" fontId="8" fillId="7" borderId="6"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20" fillId="0" borderId="1" xfId="0" applyFont="1" applyBorder="1" applyAlignment="1">
      <alignment horizontal="center" vertical="center" wrapText="1"/>
    </xf>
    <xf numFmtId="38" fontId="9" fillId="0" borderId="1" xfId="1" applyFont="1" applyBorder="1">
      <alignment vertical="center"/>
    </xf>
    <xf numFmtId="0" fontId="30" fillId="16" borderId="61" xfId="0" applyFont="1" applyFill="1" applyBorder="1" applyAlignment="1">
      <alignment horizontal="centerContinuous" vertical="center" wrapText="1"/>
    </xf>
    <xf numFmtId="0" fontId="0" fillId="3" borderId="0" xfId="0" applyFill="1">
      <alignment vertical="center"/>
    </xf>
    <xf numFmtId="38" fontId="53" fillId="18" borderId="1" xfId="1" applyFont="1" applyFill="1" applyBorder="1" applyAlignment="1">
      <alignment horizontal="center" vertical="center"/>
    </xf>
    <xf numFmtId="38" fontId="51" fillId="21" borderId="1" xfId="1" applyFont="1" applyFill="1" applyBorder="1">
      <alignment vertical="center"/>
    </xf>
    <xf numFmtId="0" fontId="25" fillId="9" borderId="1" xfId="0" applyFont="1" applyFill="1" applyBorder="1">
      <alignment vertical="center"/>
    </xf>
    <xf numFmtId="0" fontId="8" fillId="9" borderId="1" xfId="0" applyFont="1" applyFill="1" applyBorder="1">
      <alignment vertical="center"/>
    </xf>
    <xf numFmtId="38" fontId="8" fillId="9" borderId="1" xfId="1" applyFont="1" applyFill="1" applyBorder="1">
      <alignment vertical="center"/>
    </xf>
    <xf numFmtId="38" fontId="26" fillId="9" borderId="1" xfId="1" applyFont="1" applyFill="1" applyBorder="1">
      <alignment vertical="center"/>
    </xf>
    <xf numFmtId="0" fontId="54" fillId="9" borderId="0" xfId="0" applyFont="1" applyFill="1" applyAlignment="1">
      <alignment vertical="center" wrapText="1"/>
    </xf>
    <xf numFmtId="0" fontId="55" fillId="9" borderId="0" xfId="0" applyFont="1" applyFill="1">
      <alignment vertical="center"/>
    </xf>
    <xf numFmtId="38" fontId="56" fillId="9" borderId="1" xfId="0" applyNumberFormat="1" applyFont="1" applyFill="1" applyBorder="1">
      <alignment vertical="center"/>
    </xf>
    <xf numFmtId="0" fontId="56" fillId="9" borderId="1" xfId="0" applyFont="1" applyFill="1" applyBorder="1">
      <alignment vertical="center"/>
    </xf>
    <xf numFmtId="0" fontId="56" fillId="0" borderId="1" xfId="0" applyFont="1" applyBorder="1">
      <alignment vertical="center"/>
    </xf>
    <xf numFmtId="0" fontId="57" fillId="9" borderId="0" xfId="0" applyFont="1" applyFill="1" applyAlignment="1">
      <alignment horizontal="center" vertical="center"/>
    </xf>
    <xf numFmtId="0" fontId="4" fillId="9" borderId="0" xfId="0" applyFont="1" applyFill="1" applyAlignment="1">
      <alignment horizontal="center" vertical="center"/>
    </xf>
    <xf numFmtId="10" fontId="48" fillId="20" borderId="12" xfId="0" applyNumberFormat="1" applyFont="1" applyFill="1" applyBorder="1">
      <alignment vertical="center"/>
    </xf>
    <xf numFmtId="10" fontId="0" fillId="3" borderId="1" xfId="1" applyNumberFormat="1" applyFont="1" applyFill="1" applyBorder="1">
      <alignment vertical="center"/>
    </xf>
    <xf numFmtId="10" fontId="51" fillId="3" borderId="1" xfId="1" applyNumberFormat="1" applyFont="1" applyFill="1" applyBorder="1">
      <alignment vertical="center"/>
    </xf>
    <xf numFmtId="0" fontId="44" fillId="10" borderId="53" xfId="0" quotePrefix="1" applyFont="1" applyFill="1" applyBorder="1" applyAlignment="1">
      <alignment horizontal="center" vertical="center"/>
    </xf>
    <xf numFmtId="0" fontId="44" fillId="10" borderId="54" xfId="0" quotePrefix="1" applyFont="1" applyFill="1" applyBorder="1" applyAlignment="1">
      <alignment horizontal="center" vertical="center"/>
    </xf>
    <xf numFmtId="0" fontId="38" fillId="5" borderId="10" xfId="0" applyFont="1" applyFill="1" applyBorder="1" applyAlignment="1">
      <alignment horizontal="center" vertical="center"/>
    </xf>
    <xf numFmtId="0" fontId="38" fillId="5" borderId="8" xfId="0" applyFont="1" applyFill="1" applyBorder="1" applyAlignment="1">
      <alignment horizontal="center" vertical="center"/>
    </xf>
    <xf numFmtId="0" fontId="37" fillId="4" borderId="8" xfId="0" applyFont="1" applyFill="1" applyBorder="1" applyAlignment="1">
      <alignment horizontal="center" vertical="center"/>
    </xf>
    <xf numFmtId="0" fontId="18" fillId="8" borderId="12" xfId="0" applyFont="1" applyFill="1" applyBorder="1" applyAlignment="1">
      <alignment horizontal="center" vertical="top" wrapText="1"/>
    </xf>
    <xf numFmtId="0" fontId="18" fillId="8" borderId="28" xfId="0" applyFont="1" applyFill="1" applyBorder="1" applyAlignment="1">
      <alignment horizontal="center" vertical="top" wrapText="1"/>
    </xf>
    <xf numFmtId="0" fontId="18" fillId="8" borderId="0" xfId="0" applyFont="1" applyFill="1" applyAlignment="1">
      <alignment horizontal="center" vertical="top" wrapText="1"/>
    </xf>
    <xf numFmtId="0" fontId="0" fillId="5" borderId="36" xfId="0" applyFill="1" applyBorder="1" applyAlignment="1">
      <alignment horizontal="center" vertical="center"/>
    </xf>
    <xf numFmtId="0" fontId="0" fillId="5" borderId="12"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11" xfId="0" applyFill="1" applyBorder="1" applyAlignment="1">
      <alignment horizontal="center" vertical="center"/>
    </xf>
    <xf numFmtId="0" fontId="0" fillId="5" borderId="0" xfId="0" applyFill="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1" xfId="0" applyFill="1" applyBorder="1" applyAlignment="1">
      <alignment horizontal="center" vertical="center"/>
    </xf>
    <xf numFmtId="0" fontId="0" fillId="4" borderId="0" xfId="0" applyFill="1" applyAlignment="1">
      <alignment horizontal="center" vertical="center"/>
    </xf>
    <xf numFmtId="0" fontId="0" fillId="4" borderId="36" xfId="0" applyFill="1" applyBorder="1" applyAlignment="1">
      <alignment horizontal="center" vertical="center"/>
    </xf>
    <xf numFmtId="0" fontId="0" fillId="4" borderId="12" xfId="0" applyFill="1" applyBorder="1" applyAlignment="1">
      <alignment horizontal="center" vertical="center"/>
    </xf>
    <xf numFmtId="0" fontId="20" fillId="0" borderId="0" xfId="0" applyFont="1" applyAlignment="1">
      <alignment horizontal="center" vertical="center" wrapText="1"/>
    </xf>
    <xf numFmtId="0" fontId="18" fillId="6" borderId="8" xfId="0" applyFont="1" applyFill="1" applyBorder="1" applyAlignment="1">
      <alignment horizontal="center" vertical="center"/>
    </xf>
    <xf numFmtId="0" fontId="0" fillId="6" borderId="8" xfId="0" applyFill="1" applyBorder="1" applyAlignment="1">
      <alignment horizontal="center" vertical="center"/>
    </xf>
    <xf numFmtId="0" fontId="0" fillId="6" borderId="37" xfId="0" applyFill="1" applyBorder="1" applyAlignment="1">
      <alignment horizontal="center" vertical="center"/>
    </xf>
    <xf numFmtId="0" fontId="0" fillId="6" borderId="28" xfId="0" applyFill="1" applyBorder="1" applyAlignment="1">
      <alignment horizontal="center" vertical="center"/>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6" borderId="11" xfId="0" applyFill="1" applyBorder="1" applyAlignment="1">
      <alignment horizontal="center" vertical="center"/>
    </xf>
    <xf numFmtId="0" fontId="0" fillId="6" borderId="0" xfId="0" applyFill="1" applyAlignment="1">
      <alignment horizontal="center" vertical="center"/>
    </xf>
    <xf numFmtId="38" fontId="41" fillId="0" borderId="22" xfId="1" applyFont="1" applyFill="1" applyBorder="1" applyAlignment="1">
      <alignment horizontal="center" vertical="center"/>
    </xf>
    <xf numFmtId="38" fontId="41" fillId="0" borderId="23" xfId="1" applyFont="1" applyFill="1" applyBorder="1" applyAlignment="1">
      <alignment horizontal="center" vertical="center"/>
    </xf>
    <xf numFmtId="0" fontId="8" fillId="14" borderId="6" xfId="0" applyFont="1" applyFill="1" applyBorder="1" applyAlignment="1">
      <alignment horizontal="center" vertical="center"/>
    </xf>
    <xf numFmtId="0" fontId="8" fillId="14" borderId="21" xfId="0" applyFont="1" applyFill="1" applyBorder="1" applyAlignment="1">
      <alignment horizontal="center" vertical="center"/>
    </xf>
    <xf numFmtId="38" fontId="42" fillId="0" borderId="22" xfId="1" applyFont="1" applyFill="1" applyBorder="1" applyAlignment="1">
      <alignment horizontal="center" vertical="center"/>
    </xf>
    <xf numFmtId="38" fontId="42" fillId="0" borderId="23" xfId="1" applyFont="1" applyFill="1" applyBorder="1" applyAlignment="1">
      <alignment horizontal="center" vertical="center"/>
    </xf>
    <xf numFmtId="38" fontId="43" fillId="0" borderId="22" xfId="1" applyFont="1" applyBorder="1" applyAlignment="1">
      <alignment horizontal="center" vertical="center"/>
    </xf>
    <xf numFmtId="38" fontId="43" fillId="0" borderId="23" xfId="1" applyFont="1" applyBorder="1" applyAlignment="1">
      <alignment horizontal="center" vertical="center"/>
    </xf>
    <xf numFmtId="0" fontId="18" fillId="21" borderId="8" xfId="0" applyFont="1" applyFill="1" applyBorder="1" applyAlignment="1">
      <alignment horizontal="center" vertical="center"/>
    </xf>
    <xf numFmtId="0" fontId="0" fillId="21" borderId="8" xfId="0" applyFill="1" applyBorder="1" applyAlignment="1">
      <alignment horizontal="center" vertical="center"/>
    </xf>
    <xf numFmtId="0" fontId="0" fillId="21" borderId="37" xfId="0" applyFill="1" applyBorder="1" applyAlignment="1">
      <alignment horizontal="center" vertical="center"/>
    </xf>
    <xf numFmtId="0" fontId="0" fillId="21" borderId="28" xfId="0" applyFill="1" applyBorder="1" applyAlignment="1">
      <alignment horizontal="center" vertical="center"/>
    </xf>
    <xf numFmtId="0" fontId="0" fillId="21" borderId="15" xfId="0" applyFill="1" applyBorder="1" applyAlignment="1">
      <alignment horizontal="center" vertical="center"/>
    </xf>
    <xf numFmtId="0" fontId="0" fillId="21" borderId="16" xfId="0" applyFill="1" applyBorder="1" applyAlignment="1">
      <alignment horizontal="center" vertical="center"/>
    </xf>
    <xf numFmtId="0" fontId="0" fillId="21" borderId="11" xfId="0" applyFill="1" applyBorder="1" applyAlignment="1">
      <alignment horizontal="center" vertical="center"/>
    </xf>
    <xf numFmtId="0" fontId="0" fillId="21" borderId="0" xfId="0" applyFill="1" applyAlignment="1">
      <alignment horizontal="center" vertical="center"/>
    </xf>
    <xf numFmtId="38" fontId="50" fillId="0" borderId="22" xfId="1" applyFont="1" applyBorder="1" applyAlignment="1">
      <alignment horizontal="center" vertical="center"/>
    </xf>
    <xf numFmtId="38" fontId="50" fillId="0" borderId="23" xfId="1" applyFont="1" applyBorder="1" applyAlignment="1">
      <alignment horizontal="center" vertical="center"/>
    </xf>
    <xf numFmtId="0" fontId="13" fillId="15" borderId="0" xfId="0" applyFont="1" applyFill="1" applyAlignment="1">
      <alignment horizontal="center" vertical="center"/>
    </xf>
    <xf numFmtId="0" fontId="8" fillId="15" borderId="59" xfId="0" applyFont="1" applyFill="1" applyBorder="1" applyAlignment="1">
      <alignment horizontal="center" vertical="center" wrapText="1"/>
    </xf>
    <xf numFmtId="0" fontId="8" fillId="15" borderId="0" xfId="0" applyFont="1" applyFill="1" applyAlignment="1">
      <alignment horizontal="center" vertical="center" wrapText="1"/>
    </xf>
    <xf numFmtId="0" fontId="13" fillId="16" borderId="60" xfId="0" applyFont="1" applyFill="1" applyBorder="1" applyAlignment="1">
      <alignment horizontal="center" vertical="center"/>
    </xf>
    <xf numFmtId="0" fontId="13" fillId="16" borderId="7" xfId="0" applyFont="1" applyFill="1" applyBorder="1" applyAlignment="1">
      <alignment horizontal="center" vertical="center"/>
    </xf>
    <xf numFmtId="0" fontId="13" fillId="16" borderId="61" xfId="0" applyFont="1" applyFill="1" applyBorder="1" applyAlignment="1">
      <alignment horizontal="center" vertical="center"/>
    </xf>
    <xf numFmtId="38" fontId="11" fillId="0" borderId="24" xfId="0" applyNumberFormat="1" applyFont="1" applyBorder="1" applyAlignment="1">
      <alignment horizontal="center" vertical="center"/>
    </xf>
    <xf numFmtId="38" fontId="11" fillId="0" borderId="39" xfId="0" applyNumberFormat="1" applyFont="1" applyBorder="1" applyAlignment="1">
      <alignment horizontal="center" vertical="center"/>
    </xf>
    <xf numFmtId="38" fontId="11" fillId="0" borderId="25" xfId="0" applyNumberFormat="1" applyFont="1" applyBorder="1" applyAlignment="1">
      <alignment horizontal="center" vertical="center"/>
    </xf>
    <xf numFmtId="38" fontId="11" fillId="0" borderId="26" xfId="0" applyNumberFormat="1" applyFont="1" applyBorder="1" applyAlignment="1">
      <alignment horizontal="center" vertical="center"/>
    </xf>
    <xf numFmtId="38" fontId="11" fillId="0" borderId="7" xfId="0" applyNumberFormat="1" applyFont="1" applyBorder="1" applyAlignment="1">
      <alignment horizontal="center" vertical="center"/>
    </xf>
    <xf numFmtId="38" fontId="11" fillId="0" borderId="27" xfId="0" applyNumberFormat="1" applyFont="1" applyBorder="1" applyAlignment="1">
      <alignment horizontal="center" vertical="center"/>
    </xf>
    <xf numFmtId="0" fontId="52" fillId="0" borderId="0" xfId="0" applyFont="1" applyAlignment="1">
      <alignment horizontal="left" vertical="top" wrapText="1"/>
    </xf>
    <xf numFmtId="38" fontId="48" fillId="17" borderId="7" xfId="1" applyFont="1" applyFill="1" applyBorder="1" applyAlignment="1">
      <alignment horizontal="centerContinuous" vertical="center"/>
    </xf>
    <xf numFmtId="38" fontId="58" fillId="17" borderId="26" xfId="1" applyFont="1" applyFill="1" applyBorder="1" applyAlignment="1">
      <alignment horizontal="centerContinuous" vertical="center"/>
    </xf>
    <xf numFmtId="0" fontId="23" fillId="0" borderId="0" xfId="0" applyFont="1" applyFill="1">
      <alignment vertical="center"/>
    </xf>
  </cellXfs>
  <cellStyles count="3">
    <cellStyle name="パーセント" xfId="2" builtinId="5"/>
    <cellStyle name="桁区切り" xfId="1" builtinId="6"/>
    <cellStyle name="標準" xfId="0" builtinId="0"/>
  </cellStyles>
  <dxfs count="2">
    <dxf>
      <font>
        <color theme="0" tint="-0.24994659260841701"/>
      </font>
      <fill>
        <patternFill>
          <bgColor theme="0" tint="-0.24994659260841701"/>
        </patternFill>
      </fill>
    </dxf>
    <dxf>
      <font>
        <color rgb="FF9C0006"/>
      </font>
      <fill>
        <patternFill>
          <bgColor rgb="FFFFC7CE"/>
        </patternFill>
      </fill>
    </dxf>
  </dxfs>
  <tableStyles count="0" defaultTableStyle="TableStyleMedium2" defaultPivotStyle="PivotStyleLight16"/>
  <colors>
    <mruColors>
      <color rgb="FFFB71EB"/>
      <color rgb="FFFFE5FF"/>
      <color rgb="FFFFCCFF"/>
      <color rgb="FFCC06B4"/>
      <color rgb="FFFF99FF"/>
      <color rgb="FFF2F2F2"/>
      <color rgb="FFFFFFFF"/>
      <color rgb="FFFFFFE1"/>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23479</xdr:colOff>
      <xdr:row>1</xdr:row>
      <xdr:rowOff>44824</xdr:rowOff>
    </xdr:from>
    <xdr:to>
      <xdr:col>9</xdr:col>
      <xdr:colOff>25204</xdr:colOff>
      <xdr:row>10</xdr:row>
      <xdr:rowOff>5862</xdr:rowOff>
    </xdr:to>
    <xdr:cxnSp macro="">
      <xdr:nvCxnSpPr>
        <xdr:cNvPr id="16" name="直線コネクタ 15">
          <a:extLst>
            <a:ext uri="{FF2B5EF4-FFF2-40B4-BE49-F238E27FC236}">
              <a16:creationId xmlns:a16="http://schemas.microsoft.com/office/drawing/2014/main" id="{CD565C54-75A6-95EB-5994-075DD98308BE}"/>
            </a:ext>
          </a:extLst>
        </xdr:cNvPr>
        <xdr:cNvCxnSpPr/>
      </xdr:nvCxnSpPr>
      <xdr:spPr>
        <a:xfrm>
          <a:off x="5525119" y="273424"/>
          <a:ext cx="1725" cy="2559458"/>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35859</xdr:colOff>
      <xdr:row>37</xdr:row>
      <xdr:rowOff>53789</xdr:rowOff>
    </xdr:from>
    <xdr:to>
      <xdr:col>26</xdr:col>
      <xdr:colOff>286870</xdr:colOff>
      <xdr:row>38</xdr:row>
      <xdr:rowOff>53789</xdr:rowOff>
    </xdr:to>
    <xdr:sp macro="" textlink="">
      <xdr:nvSpPr>
        <xdr:cNvPr id="2" name="曲折矢印 1">
          <a:extLst>
            <a:ext uri="{FF2B5EF4-FFF2-40B4-BE49-F238E27FC236}">
              <a16:creationId xmlns:a16="http://schemas.microsoft.com/office/drawing/2014/main" id="{00000000-0008-0000-0000-000002000000}"/>
            </a:ext>
          </a:extLst>
        </xdr:cNvPr>
        <xdr:cNvSpPr/>
      </xdr:nvSpPr>
      <xdr:spPr>
        <a:xfrm flipH="1">
          <a:off x="14406283" y="7342095"/>
          <a:ext cx="251011" cy="233082"/>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26895</xdr:colOff>
      <xdr:row>37</xdr:row>
      <xdr:rowOff>71720</xdr:rowOff>
    </xdr:from>
    <xdr:to>
      <xdr:col>33</xdr:col>
      <xdr:colOff>277906</xdr:colOff>
      <xdr:row>39</xdr:row>
      <xdr:rowOff>8967</xdr:rowOff>
    </xdr:to>
    <xdr:sp macro="" textlink="">
      <xdr:nvSpPr>
        <xdr:cNvPr id="3" name="曲折矢印 2">
          <a:extLst>
            <a:ext uri="{FF2B5EF4-FFF2-40B4-BE49-F238E27FC236}">
              <a16:creationId xmlns:a16="http://schemas.microsoft.com/office/drawing/2014/main" id="{00000000-0008-0000-0000-000003000000}"/>
            </a:ext>
          </a:extLst>
        </xdr:cNvPr>
        <xdr:cNvSpPr/>
      </xdr:nvSpPr>
      <xdr:spPr>
        <a:xfrm flipH="1">
          <a:off x="13070542" y="7978591"/>
          <a:ext cx="251011" cy="233082"/>
        </a:xfrm>
        <a:prstGeom prst="ben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40</xdr:col>
      <xdr:colOff>35860</xdr:colOff>
      <xdr:row>37</xdr:row>
      <xdr:rowOff>53790</xdr:rowOff>
    </xdr:from>
    <xdr:to>
      <xdr:col>40</xdr:col>
      <xdr:colOff>286871</xdr:colOff>
      <xdr:row>38</xdr:row>
      <xdr:rowOff>53790</xdr:rowOff>
    </xdr:to>
    <xdr:sp macro="" textlink="">
      <xdr:nvSpPr>
        <xdr:cNvPr id="4" name="曲折矢印 3">
          <a:extLst>
            <a:ext uri="{FF2B5EF4-FFF2-40B4-BE49-F238E27FC236}">
              <a16:creationId xmlns:a16="http://schemas.microsoft.com/office/drawing/2014/main" id="{00000000-0008-0000-0000-000004000000}"/>
            </a:ext>
          </a:extLst>
        </xdr:cNvPr>
        <xdr:cNvSpPr/>
      </xdr:nvSpPr>
      <xdr:spPr>
        <a:xfrm flipH="1">
          <a:off x="15670307" y="7960661"/>
          <a:ext cx="251011" cy="233082"/>
        </a:xfrm>
        <a:prstGeom prst="ben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8964</xdr:colOff>
      <xdr:row>0</xdr:row>
      <xdr:rowOff>224119</xdr:rowOff>
    </xdr:from>
    <xdr:to>
      <xdr:col>4</xdr:col>
      <xdr:colOff>849726</xdr:colOff>
      <xdr:row>4</xdr:row>
      <xdr:rowOff>96883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77905" y="224119"/>
          <a:ext cx="1961350" cy="10202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002060"/>
              </a:solidFill>
              <a:latin typeface="游ゴシック Medium" panose="020B0500000000000000" pitchFamily="50" charset="-128"/>
              <a:ea typeface="游ゴシック Medium" panose="020B0500000000000000" pitchFamily="50" charset="-128"/>
            </a:rPr>
            <a:t>R8</a:t>
          </a:r>
          <a:r>
            <a:rPr kumimoji="1" lang="ja-JP" altLang="en-US" sz="1400" b="1">
              <a:solidFill>
                <a:srgbClr val="002060"/>
              </a:solidFill>
              <a:latin typeface="游ゴシック Medium" panose="020B0500000000000000" pitchFamily="50" charset="-128"/>
              <a:ea typeface="游ゴシック Medium" panose="020B0500000000000000" pitchFamily="50" charset="-128"/>
            </a:rPr>
            <a:t>年度波佐見町 </a:t>
          </a:r>
          <a:endParaRPr kumimoji="1" lang="en-US" altLang="ja-JP" sz="1400" b="1">
            <a:solidFill>
              <a:srgbClr val="002060"/>
            </a:solidFill>
            <a:latin typeface="游ゴシック Medium" panose="020B0500000000000000" pitchFamily="50" charset="-128"/>
            <a:ea typeface="游ゴシック Medium" panose="020B0500000000000000" pitchFamily="50" charset="-128"/>
          </a:endParaRPr>
        </a:p>
        <a:p>
          <a:pPr algn="ctr"/>
          <a:r>
            <a:rPr kumimoji="1" lang="ja-JP" altLang="en-US" sz="1400" b="1">
              <a:solidFill>
                <a:srgbClr val="002060"/>
              </a:solidFill>
              <a:latin typeface="游ゴシック Medium" panose="020B0500000000000000" pitchFamily="50" charset="-128"/>
              <a:ea typeface="游ゴシック Medium" panose="020B0500000000000000" pitchFamily="50" charset="-128"/>
            </a:rPr>
            <a:t>国保料</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未確定）</a:t>
          </a:r>
          <a:endParaRPr kumimoji="1" lang="en-US" altLang="ja-JP" sz="1100" b="1">
            <a:solidFill>
              <a:schemeClr val="dk1"/>
            </a:solidFill>
            <a:effectLst/>
            <a:latin typeface="+mn-lt"/>
            <a:ea typeface="+mn-ea"/>
            <a:cs typeface="+mn-cs"/>
          </a:endParaRPr>
        </a:p>
        <a:p>
          <a:pPr algn="ctr"/>
          <a:r>
            <a:rPr kumimoji="1" lang="ja-JP" altLang="en-US" sz="1400" b="1">
              <a:solidFill>
                <a:srgbClr val="002060"/>
              </a:solidFill>
              <a:latin typeface="游ゴシック Medium" panose="020B0500000000000000" pitchFamily="50" charset="-128"/>
              <a:ea typeface="游ゴシック Medium" panose="020B0500000000000000" pitchFamily="50" charset="-128"/>
            </a:rPr>
            <a:t>簡易試算表</a:t>
          </a:r>
          <a:endParaRPr kumimoji="1" lang="en-US" altLang="ja-JP" sz="1400" b="1">
            <a:solidFill>
              <a:srgbClr val="002060"/>
            </a:solidFill>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41620</xdr:colOff>
      <xdr:row>5</xdr:row>
      <xdr:rowOff>59425</xdr:rowOff>
    </xdr:from>
    <xdr:to>
      <xdr:col>4</xdr:col>
      <xdr:colOff>936172</xdr:colOff>
      <xdr:row>10</xdr:row>
      <xdr:rowOff>161365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67126" y="1305519"/>
          <a:ext cx="2158575" cy="1706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t>この表は、あくまでも簡易試算です。</a:t>
          </a:r>
          <a:endParaRPr kumimoji="1" lang="en-US" altLang="ja-JP" sz="1050"/>
        </a:p>
        <a:p>
          <a:pPr>
            <a:lnSpc>
              <a:spcPts val="1200"/>
            </a:lnSpc>
          </a:pPr>
          <a:r>
            <a:rPr kumimoji="1" lang="ja-JP" altLang="en-US" sz="1050"/>
            <a:t>既に国保世帯員がいる場合や年度途中の年齢到達や員の脱加入などがある場合は正しい結果が出ません。</a:t>
          </a:r>
          <a:endParaRPr kumimoji="0" lang="en-US" altLang="ja-JP" sz="1100" b="0" i="0" u="none" strike="noStrike">
            <a:solidFill>
              <a:schemeClr val="dk1"/>
            </a:solidFill>
            <a:effectLst/>
            <a:latin typeface="+mn-lt"/>
            <a:ea typeface="+mn-ea"/>
            <a:cs typeface="+mn-cs"/>
          </a:endParaRPr>
        </a:p>
        <a:p>
          <a:pPr>
            <a:lnSpc>
              <a:spcPts val="1200"/>
            </a:lnSpc>
          </a:pPr>
          <a:endParaRPr kumimoji="1" lang="en-US" altLang="ja-JP" sz="1050"/>
        </a:p>
        <a:p>
          <a:pPr>
            <a:lnSpc>
              <a:spcPts val="1200"/>
            </a:lnSpc>
          </a:pPr>
          <a:r>
            <a:rPr kumimoji="1" lang="ja-JP" altLang="en-US" sz="1050"/>
            <a:t>◆正確な試算は、役場 窓口に本人確認書類をご持参の上おたずねください。</a:t>
          </a:r>
        </a:p>
      </xdr:txBody>
    </xdr:sp>
    <xdr:clientData/>
  </xdr:twoCellAnchor>
  <xdr:twoCellAnchor>
    <xdr:from>
      <xdr:col>32</xdr:col>
      <xdr:colOff>388620</xdr:colOff>
      <xdr:row>0</xdr:row>
      <xdr:rowOff>215971</xdr:rowOff>
    </xdr:from>
    <xdr:to>
      <xdr:col>49</xdr:col>
      <xdr:colOff>0</xdr:colOff>
      <xdr:row>10</xdr:row>
      <xdr:rowOff>213360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7313985" y="215971"/>
          <a:ext cx="5232250" cy="2955742"/>
        </a:xfrm>
        <a:prstGeom prst="rect">
          <a:avLst/>
        </a:prstGeom>
        <a:solidFill>
          <a:schemeClr val="lt1"/>
        </a:solidFill>
        <a:ln w="190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en-US" altLang="ja-JP" sz="1200"/>
            <a:t>【</a:t>
          </a:r>
          <a:r>
            <a:rPr kumimoji="1" lang="ja-JP" altLang="en-US" sz="1200"/>
            <a:t>用語の説明</a:t>
          </a:r>
          <a:r>
            <a:rPr kumimoji="1" lang="en-US" altLang="ja-JP" sz="1200"/>
            <a:t>】</a:t>
          </a:r>
        </a:p>
        <a:p>
          <a:pPr>
            <a:lnSpc>
              <a:spcPts val="2000"/>
            </a:lnSpc>
          </a:pPr>
          <a:r>
            <a:rPr kumimoji="1" lang="ja-JP" altLang="en-US" sz="1200"/>
            <a:t>所得割：所得に応じて計算</a:t>
          </a:r>
          <a:endParaRPr kumimoji="1" lang="en-US" altLang="ja-JP" sz="1200"/>
        </a:p>
        <a:p>
          <a:pPr>
            <a:lnSpc>
              <a:spcPts val="2000"/>
            </a:lnSpc>
          </a:pPr>
          <a:r>
            <a:rPr kumimoji="1" lang="ja-JP" altLang="en-US" sz="1200"/>
            <a:t>均等割：加入人数に応じて計算</a:t>
          </a:r>
          <a:endParaRPr kumimoji="1" lang="en-US" altLang="ja-JP" sz="1200"/>
        </a:p>
        <a:p>
          <a:pPr>
            <a:lnSpc>
              <a:spcPts val="2000"/>
            </a:lnSpc>
          </a:pPr>
          <a:r>
            <a:rPr kumimoji="1" lang="ja-JP" altLang="en-US" sz="1200"/>
            <a:t>平等割：ひと世帯に対してかかる基本料</a:t>
          </a:r>
          <a:endParaRPr kumimoji="1" lang="en-US" altLang="ja-JP" sz="1200"/>
        </a:p>
        <a:p>
          <a:pPr>
            <a:lnSpc>
              <a:spcPts val="2000"/>
            </a:lnSpc>
          </a:pPr>
          <a:endParaRPr kumimoji="1" lang="en-US" altLang="ja-JP" sz="1200"/>
        </a:p>
        <a:p>
          <a:pPr>
            <a:lnSpc>
              <a:spcPts val="2000"/>
            </a:lnSpc>
          </a:pPr>
          <a:r>
            <a:rPr kumimoji="1" lang="ja-JP" altLang="en-US" sz="1200">
              <a:solidFill>
                <a:schemeClr val="accent5">
                  <a:lumMod val="75000"/>
                </a:schemeClr>
              </a:solidFill>
            </a:rPr>
            <a:t>医療分：国保加入者の医療費のために徴収する分</a:t>
          </a:r>
          <a:endParaRPr kumimoji="1" lang="en-US" altLang="ja-JP" sz="1200">
            <a:solidFill>
              <a:schemeClr val="accent5">
                <a:lumMod val="75000"/>
              </a:schemeClr>
            </a:solidFill>
          </a:endParaRPr>
        </a:p>
        <a:p>
          <a:pPr>
            <a:lnSpc>
              <a:spcPts val="2000"/>
            </a:lnSpc>
          </a:pPr>
          <a:r>
            <a:rPr kumimoji="1" lang="ja-JP" altLang="en-US" sz="1200">
              <a:solidFill>
                <a:schemeClr val="accent6">
                  <a:lumMod val="75000"/>
                </a:schemeClr>
              </a:solidFill>
            </a:rPr>
            <a:t>後期支援分：後期高齢者を支えるために徴収する分</a:t>
          </a:r>
          <a:endParaRPr kumimoji="1" lang="en-US" altLang="ja-JP" sz="1200">
            <a:solidFill>
              <a:schemeClr val="accent6">
                <a:lumMod val="75000"/>
              </a:schemeClr>
            </a:solidFill>
          </a:endParaRPr>
        </a:p>
        <a:p>
          <a:pPr>
            <a:lnSpc>
              <a:spcPts val="2000"/>
            </a:lnSpc>
          </a:pPr>
          <a:r>
            <a:rPr kumimoji="1" lang="ja-JP" altLang="en-US" sz="1200">
              <a:solidFill>
                <a:schemeClr val="accent2">
                  <a:lumMod val="75000"/>
                </a:schemeClr>
              </a:solidFill>
            </a:rPr>
            <a:t>介護支援分：介護保険を支えるために</a:t>
          </a:r>
          <a:r>
            <a:rPr kumimoji="1" lang="en-US" altLang="ja-JP" sz="1200">
              <a:solidFill>
                <a:schemeClr val="accent2">
                  <a:lumMod val="75000"/>
                </a:schemeClr>
              </a:solidFill>
            </a:rPr>
            <a:t>40</a:t>
          </a:r>
          <a:r>
            <a:rPr kumimoji="1" lang="ja-JP" altLang="en-US" sz="1200">
              <a:solidFill>
                <a:schemeClr val="accent2">
                  <a:lumMod val="75000"/>
                </a:schemeClr>
              </a:solidFill>
            </a:rPr>
            <a:t>歳以上から徴収する分</a:t>
          </a:r>
          <a:endParaRPr kumimoji="1" lang="en-US" altLang="ja-JP" sz="1200">
            <a:solidFill>
              <a:schemeClr val="accent2">
                <a:lumMod val="75000"/>
              </a:schemeClr>
            </a:solidFill>
          </a:endParaRPr>
        </a:p>
        <a:p>
          <a:pPr>
            <a:lnSpc>
              <a:spcPts val="2000"/>
            </a:lnSpc>
          </a:pPr>
          <a:r>
            <a:rPr kumimoji="1" lang="ja-JP" altLang="en-US" sz="1200">
              <a:solidFill>
                <a:schemeClr val="accent2">
                  <a:lumMod val="75000"/>
                </a:schemeClr>
              </a:solidFill>
            </a:rPr>
            <a:t>　　　　　（</a:t>
          </a:r>
          <a:r>
            <a:rPr kumimoji="1" lang="en-US" altLang="ja-JP" sz="1200">
              <a:solidFill>
                <a:schemeClr val="accent2">
                  <a:lumMod val="75000"/>
                </a:schemeClr>
              </a:solidFill>
            </a:rPr>
            <a:t>65</a:t>
          </a:r>
          <a:r>
            <a:rPr kumimoji="1" lang="ja-JP" altLang="en-US" sz="1200">
              <a:solidFill>
                <a:schemeClr val="accent2">
                  <a:lumMod val="75000"/>
                </a:schemeClr>
              </a:solidFill>
            </a:rPr>
            <a:t>歳になると介護保険から個別に徴収される）</a:t>
          </a:r>
          <a:endParaRPr kumimoji="1" lang="en-US" altLang="ja-JP" sz="1200">
            <a:solidFill>
              <a:schemeClr val="accent2">
                <a:lumMod val="75000"/>
              </a:schemeClr>
            </a:solidFill>
          </a:endParaRPr>
        </a:p>
        <a:p>
          <a:pPr>
            <a:lnSpc>
              <a:spcPts val="2000"/>
            </a:lnSpc>
          </a:pPr>
          <a:r>
            <a:rPr kumimoji="1" lang="ja-JP" altLang="en-US" sz="1200">
              <a:solidFill>
                <a:srgbClr val="CC06B4"/>
              </a:solidFill>
            </a:rPr>
            <a:t>子育て支援分：子育てを支援するために徴収する分</a:t>
          </a:r>
          <a:endParaRPr kumimoji="1" lang="en-US" altLang="ja-JP" sz="1200">
            <a:solidFill>
              <a:srgbClr val="CC06B4"/>
            </a:solidFill>
          </a:endParaRPr>
        </a:p>
        <a:p>
          <a:pPr>
            <a:lnSpc>
              <a:spcPts val="2000"/>
            </a:lnSpc>
          </a:pPr>
          <a:r>
            <a:rPr kumimoji="1" lang="ja-JP" altLang="en-US" sz="1200">
              <a:solidFill>
                <a:srgbClr val="CC06B4"/>
              </a:solidFill>
            </a:rPr>
            <a:t>　　　　　（</a:t>
          </a:r>
          <a:r>
            <a:rPr kumimoji="1" lang="en-US" altLang="ja-JP" sz="1200">
              <a:solidFill>
                <a:srgbClr val="CC06B4"/>
              </a:solidFill>
            </a:rPr>
            <a:t>18</a:t>
          </a:r>
          <a:r>
            <a:rPr kumimoji="1" lang="ja-JP" altLang="en-US" sz="1200">
              <a:solidFill>
                <a:srgbClr val="CC06B4"/>
              </a:solidFill>
            </a:rPr>
            <a:t>歳未満の均等割負担相当分は、上の世代が上乗せで負担）</a:t>
          </a:r>
          <a:endParaRPr kumimoji="1" lang="en-US" altLang="ja-JP" sz="1200">
            <a:solidFill>
              <a:srgbClr val="CC06B4"/>
            </a:solidFill>
          </a:endParaRPr>
        </a:p>
        <a:p>
          <a:pPr>
            <a:lnSpc>
              <a:spcPts val="2000"/>
            </a:lnSpc>
          </a:pPr>
          <a:endParaRPr kumimoji="1" lang="ja-JP" altLang="en-US" sz="1200"/>
        </a:p>
      </xdr:txBody>
    </xdr:sp>
    <xdr:clientData/>
  </xdr:twoCellAnchor>
  <xdr:twoCellAnchor>
    <xdr:from>
      <xdr:col>2</xdr:col>
      <xdr:colOff>53788</xdr:colOff>
      <xdr:row>11</xdr:row>
      <xdr:rowOff>107577</xdr:rowOff>
    </xdr:from>
    <xdr:to>
      <xdr:col>5</xdr:col>
      <xdr:colOff>860612</xdr:colOff>
      <xdr:row>12</xdr:row>
      <xdr:rowOff>513551</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259976" y="3307977"/>
          <a:ext cx="3074895" cy="737668"/>
        </a:xfrm>
        <a:prstGeom prst="wedgeRoundRectCallout">
          <a:avLst>
            <a:gd name="adj1" fmla="val 60033"/>
            <a:gd name="adj2" fmla="val -1970"/>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lnSpc>
              <a:spcPts val="1800"/>
            </a:lnSpc>
          </a:pPr>
          <a:r>
            <a:rPr kumimoji="1" lang="ja-JP" altLang="en-US" sz="1100" b="1"/>
            <a:t>令和７年源泉徴収票や、Ｒ７年１月～１２月の収入・所得を入力してください。</a:t>
          </a:r>
        </a:p>
      </xdr:txBody>
    </xdr:sp>
    <xdr:clientData/>
  </xdr:twoCellAnchor>
  <xdr:twoCellAnchor>
    <xdr:from>
      <xdr:col>20</xdr:col>
      <xdr:colOff>45782</xdr:colOff>
      <xdr:row>10</xdr:row>
      <xdr:rowOff>297664</xdr:rowOff>
    </xdr:from>
    <xdr:to>
      <xdr:col>48</xdr:col>
      <xdr:colOff>33839</xdr:colOff>
      <xdr:row>43</xdr:row>
      <xdr:rowOff>73512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554158" y="3256017"/>
          <a:ext cx="9427893" cy="6239401"/>
        </a:xfrm>
        <a:prstGeom prst="rect">
          <a:avLst/>
        </a:prstGeom>
        <a:solidFill>
          <a:srgbClr val="F2F2F2">
            <a:alpha val="5098"/>
          </a:srgbClr>
        </a:solidFill>
        <a:ln w="3810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286871</xdr:colOff>
      <xdr:row>36</xdr:row>
      <xdr:rowOff>295836</xdr:rowOff>
    </xdr:from>
    <xdr:to>
      <xdr:col>4</xdr:col>
      <xdr:colOff>1123150</xdr:colOff>
      <xdr:row>42</xdr:row>
      <xdr:rowOff>161365</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555812" y="8068236"/>
          <a:ext cx="1956867" cy="1147482"/>
        </a:xfrm>
        <a:prstGeom prst="wedgeRoundRectCallout">
          <a:avLst>
            <a:gd name="adj1" fmla="val 21690"/>
            <a:gd name="adj2" fmla="val -76963"/>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lnSpc>
              <a:spcPts val="1800"/>
            </a:lnSpc>
          </a:pPr>
          <a:r>
            <a:rPr kumimoji="1" lang="ja-JP" altLang="en-US" sz="1050" b="1">
              <a:solidFill>
                <a:schemeClr val="bg1"/>
              </a:solidFill>
            </a:rPr>
            <a:t>対象者がいない欄に</a:t>
          </a:r>
          <a:endParaRPr kumimoji="1" lang="en-US" altLang="ja-JP" sz="1050" b="1">
            <a:solidFill>
              <a:schemeClr val="bg1"/>
            </a:solidFill>
          </a:endParaRPr>
        </a:p>
        <a:p>
          <a:pPr algn="ctr">
            <a:lnSpc>
              <a:spcPts val="1800"/>
            </a:lnSpc>
          </a:pPr>
          <a:r>
            <a:rPr kumimoji="1" lang="ja-JP" altLang="en-US" sz="1050" b="1">
              <a:solidFill>
                <a:schemeClr val="bg1"/>
              </a:solidFill>
            </a:rPr>
            <a:t>誤って入力したとき</a:t>
          </a:r>
          <a:r>
            <a:rPr kumimoji="1" lang="ja-JP" altLang="en-US" sz="1050" b="1"/>
            <a:t>は、</a:t>
          </a:r>
          <a:endParaRPr kumimoji="1" lang="en-US" altLang="ja-JP" sz="1050" b="1"/>
        </a:p>
        <a:p>
          <a:pPr algn="ctr">
            <a:lnSpc>
              <a:spcPts val="1800"/>
            </a:lnSpc>
          </a:pPr>
          <a:r>
            <a:rPr kumimoji="1" lang="ja-JP" altLang="en-US" sz="1050" b="1">
              <a:solidFill>
                <a:srgbClr val="FFFF00"/>
              </a:solidFill>
            </a:rPr>
            <a:t>年齢欄の内容</a:t>
          </a:r>
          <a:r>
            <a:rPr kumimoji="1" lang="ja-JP" altLang="en-US" sz="1050" b="1">
              <a:solidFill>
                <a:schemeClr val="bg1"/>
              </a:solidFill>
            </a:rPr>
            <a:t>を削除して</a:t>
          </a:r>
          <a:endParaRPr kumimoji="1" lang="en-US" altLang="ja-JP" sz="1050" b="1">
            <a:solidFill>
              <a:schemeClr val="bg1"/>
            </a:solidFill>
          </a:endParaRPr>
        </a:p>
        <a:p>
          <a:pPr algn="ctr">
            <a:lnSpc>
              <a:spcPts val="1800"/>
            </a:lnSpc>
          </a:pPr>
          <a:r>
            <a:rPr kumimoji="1" lang="ja-JP" altLang="en-US" sz="1050" b="1">
              <a:solidFill>
                <a:srgbClr val="FFFF00"/>
              </a:solidFill>
            </a:rPr>
            <a:t>空白</a:t>
          </a:r>
          <a:r>
            <a:rPr kumimoji="1" lang="ja-JP" altLang="en-US" sz="1050" b="1">
              <a:solidFill>
                <a:schemeClr val="bg1"/>
              </a:solidFill>
            </a:rPr>
            <a:t>にしてください。</a:t>
          </a:r>
        </a:p>
      </xdr:txBody>
    </xdr:sp>
    <xdr:clientData/>
  </xdr:twoCellAnchor>
  <xdr:twoCellAnchor>
    <xdr:from>
      <xdr:col>2</xdr:col>
      <xdr:colOff>303713</xdr:colOff>
      <xdr:row>13</xdr:row>
      <xdr:rowOff>88177</xdr:rowOff>
    </xdr:from>
    <xdr:to>
      <xdr:col>3</xdr:col>
      <xdr:colOff>185058</xdr:colOff>
      <xdr:row>13</xdr:row>
      <xdr:rowOff>370116</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575856" y="4964977"/>
          <a:ext cx="773973" cy="281939"/>
        </a:xfrm>
        <a:prstGeom prst="wedgeRoundRectCallout">
          <a:avLst>
            <a:gd name="adj1" fmla="val 14818"/>
            <a:gd name="adj2" fmla="val 123265"/>
            <a:gd name="adj3" fmla="val 16667"/>
          </a:avLst>
        </a:prstGeom>
        <a:solidFill>
          <a:srgbClr val="FF0000"/>
        </a:solidFill>
      </xdr:spPr>
      <xdr:style>
        <a:lnRef idx="3">
          <a:schemeClr val="lt1"/>
        </a:lnRef>
        <a:fillRef idx="1">
          <a:schemeClr val="dk1"/>
        </a:fillRef>
        <a:effectRef idx="1">
          <a:schemeClr val="dk1"/>
        </a:effectRef>
        <a:fontRef idx="minor">
          <a:schemeClr val="lt1"/>
        </a:fontRef>
      </xdr:style>
      <xdr:txBody>
        <a:bodyPr vertOverflow="clip" horzOverflow="clip" rtlCol="0" anchor="ctr"/>
        <a:lstStyle/>
        <a:p>
          <a:pPr algn="ctr">
            <a:lnSpc>
              <a:spcPts val="1800"/>
            </a:lnSpc>
          </a:pPr>
          <a:r>
            <a:rPr kumimoji="1" lang="ja-JP" altLang="en-US" sz="1100" b="1"/>
            <a:t>必須</a:t>
          </a:r>
        </a:p>
      </xdr:txBody>
    </xdr:sp>
    <xdr:clientData/>
  </xdr:twoCellAnchor>
  <xdr:twoCellAnchor>
    <xdr:from>
      <xdr:col>5</xdr:col>
      <xdr:colOff>562793</xdr:colOff>
      <xdr:row>5</xdr:row>
      <xdr:rowOff>255814</xdr:rowOff>
    </xdr:from>
    <xdr:to>
      <xdr:col>8</xdr:col>
      <xdr:colOff>402773</xdr:colOff>
      <xdr:row>6</xdr:row>
      <xdr:rowOff>315685</xdr:rowOff>
    </xdr:to>
    <xdr:sp macro="" textlink="">
      <xdr:nvSpPr>
        <xdr:cNvPr id="11" name="上矢印 10">
          <a:extLst>
            <a:ext uri="{FF2B5EF4-FFF2-40B4-BE49-F238E27FC236}">
              <a16:creationId xmlns:a16="http://schemas.microsoft.com/office/drawing/2014/main" id="{00000000-0008-0000-0000-00000B000000}"/>
            </a:ext>
          </a:extLst>
        </xdr:cNvPr>
        <xdr:cNvSpPr/>
      </xdr:nvSpPr>
      <xdr:spPr>
        <a:xfrm>
          <a:off x="3099164" y="1790700"/>
          <a:ext cx="1973580" cy="560614"/>
        </a:xfrm>
        <a:prstGeom prst="upArrow">
          <a:avLst>
            <a:gd name="adj1" fmla="val 58231"/>
            <a:gd name="adj2" fmla="val 5221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a:t>試算結果</a:t>
          </a:r>
        </a:p>
      </xdr:txBody>
    </xdr:sp>
    <xdr:clientData/>
  </xdr:twoCellAnchor>
  <xdr:twoCellAnchor>
    <xdr:from>
      <xdr:col>4</xdr:col>
      <xdr:colOff>995687</xdr:colOff>
      <xdr:row>1</xdr:row>
      <xdr:rowOff>26973</xdr:rowOff>
    </xdr:from>
    <xdr:to>
      <xdr:col>32</xdr:col>
      <xdr:colOff>282778</xdr:colOff>
      <xdr:row>10</xdr:row>
      <xdr:rowOff>148812</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322463" y="260055"/>
          <a:ext cx="8368339" cy="2847110"/>
        </a:xfrm>
        <a:prstGeom prst="rect">
          <a:avLst/>
        </a:prstGeom>
        <a:solidFill>
          <a:srgbClr val="FFFFFF">
            <a:alpha val="5098"/>
          </a:srgbClr>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35860</xdr:colOff>
      <xdr:row>37</xdr:row>
      <xdr:rowOff>53790</xdr:rowOff>
    </xdr:from>
    <xdr:to>
      <xdr:col>47</xdr:col>
      <xdr:colOff>286871</xdr:colOff>
      <xdr:row>38</xdr:row>
      <xdr:rowOff>53790</xdr:rowOff>
    </xdr:to>
    <xdr:sp macro="" textlink="">
      <xdr:nvSpPr>
        <xdr:cNvPr id="14" name="曲折矢印 3">
          <a:extLst>
            <a:ext uri="{FF2B5EF4-FFF2-40B4-BE49-F238E27FC236}">
              <a16:creationId xmlns:a16="http://schemas.microsoft.com/office/drawing/2014/main" id="{0964FC8D-253A-4046-95D5-850691A7A34A}"/>
            </a:ext>
          </a:extLst>
        </xdr:cNvPr>
        <xdr:cNvSpPr/>
      </xdr:nvSpPr>
      <xdr:spPr>
        <a:xfrm flipH="1">
          <a:off x="14800731" y="7530355"/>
          <a:ext cx="251011" cy="194982"/>
        </a:xfrm>
        <a:prstGeom prst="bentArrow">
          <a:avLst/>
        </a:prstGeom>
        <a:solidFill>
          <a:srgbClr val="FB71EB"/>
        </a:solidFill>
        <a:ln>
          <a:solidFill>
            <a:srgbClr val="CC06B4"/>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38100</xdr:colOff>
      <xdr:row>0</xdr:row>
      <xdr:rowOff>22860</xdr:rowOff>
    </xdr:from>
    <xdr:to>
      <xdr:col>17</xdr:col>
      <xdr:colOff>678180</xdr:colOff>
      <xdr:row>9</xdr:row>
      <xdr:rowOff>30480</xdr:rowOff>
    </xdr:to>
    <xdr:sp macro="" textlink="">
      <xdr:nvSpPr>
        <xdr:cNvPr id="2" name="テキスト ボックス 1">
          <a:extLst>
            <a:ext uri="{FF2B5EF4-FFF2-40B4-BE49-F238E27FC236}">
              <a16:creationId xmlns:a16="http://schemas.microsoft.com/office/drawing/2014/main" id="{25F97A41-8D9B-2174-BA47-28C7E95845C3}"/>
            </a:ext>
          </a:extLst>
        </xdr:cNvPr>
        <xdr:cNvSpPr txBox="1"/>
      </xdr:nvSpPr>
      <xdr:spPr>
        <a:xfrm>
          <a:off x="9654540" y="22860"/>
          <a:ext cx="4442460"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2060"/>
              </a:solidFill>
            </a:rPr>
            <a:t>この</a:t>
          </a:r>
          <a:r>
            <a:rPr kumimoji="1" lang="en-US" altLang="ja-JP" sz="1100" b="1">
              <a:solidFill>
                <a:srgbClr val="002060"/>
              </a:solidFill>
            </a:rPr>
            <a:t>Excel</a:t>
          </a:r>
          <a:r>
            <a:rPr kumimoji="1" lang="ja-JP" altLang="en-US" sz="1100" b="1">
              <a:solidFill>
                <a:srgbClr val="002060"/>
              </a:solidFill>
            </a:rPr>
            <a:t>は、保護機能やマクロは利用していません。</a:t>
          </a:r>
          <a:endParaRPr kumimoji="1" lang="en-US" altLang="ja-JP" sz="1100" b="1">
            <a:solidFill>
              <a:srgbClr val="002060"/>
            </a:solidFill>
          </a:endParaRPr>
        </a:p>
        <a:p>
          <a:r>
            <a:rPr kumimoji="1" lang="en-US" altLang="ja-JP" sz="1100" b="1">
              <a:solidFill>
                <a:srgbClr val="002060"/>
              </a:solidFill>
            </a:rPr>
            <a:t>〈</a:t>
          </a:r>
          <a:r>
            <a:rPr kumimoji="1" lang="ja-JP" altLang="en-US" sz="1100" b="1">
              <a:solidFill>
                <a:srgbClr val="002060"/>
              </a:solidFill>
            </a:rPr>
            <a:t>使用している機能</a:t>
          </a:r>
          <a:r>
            <a:rPr kumimoji="1" lang="en-US" altLang="ja-JP" sz="1100" b="1">
              <a:solidFill>
                <a:srgbClr val="00206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002060"/>
              </a:solidFill>
            </a:rPr>
            <a:t>・関数　　　　　　</a:t>
          </a:r>
          <a:r>
            <a:rPr kumimoji="1" lang="ja-JP" altLang="ja-JP" sz="1100" b="0">
              <a:solidFill>
                <a:srgbClr val="002060"/>
              </a:solidFill>
              <a:effectLst/>
              <a:latin typeface="+mn-lt"/>
              <a:ea typeface="+mn-ea"/>
              <a:cs typeface="+mn-cs"/>
            </a:rPr>
            <a:t>・名前の定義・管理</a:t>
          </a:r>
          <a:endParaRPr kumimoji="1" lang="en-US" altLang="ja-JP" sz="1100" b="0">
            <a:solidFill>
              <a:srgbClr val="002060"/>
            </a:solidFill>
          </a:endParaRPr>
        </a:p>
        <a:p>
          <a:r>
            <a:rPr kumimoji="1" lang="ja-JP" altLang="en-US" sz="1100" b="0">
              <a:solidFill>
                <a:srgbClr val="002060"/>
              </a:solidFill>
            </a:rPr>
            <a:t>・条件付き書式（年齢未選択時は灰色セル表示）</a:t>
          </a:r>
          <a:endParaRPr kumimoji="1" lang="en-US" altLang="ja-JP" sz="1100" b="0">
            <a:solidFill>
              <a:srgbClr val="002060"/>
            </a:solidFill>
          </a:endParaRPr>
        </a:p>
        <a:p>
          <a:r>
            <a:rPr kumimoji="1" lang="ja-JP" altLang="en-US" sz="1100" b="0">
              <a:solidFill>
                <a:srgbClr val="002060"/>
              </a:solidFill>
            </a:rPr>
            <a:t>・データの入力規則</a:t>
          </a:r>
          <a:endParaRPr kumimoji="1" lang="en-US" altLang="ja-JP" sz="1100" b="0">
            <a:solidFill>
              <a:srgbClr val="002060"/>
            </a:solidFill>
          </a:endParaRPr>
        </a:p>
        <a:p>
          <a:r>
            <a:rPr kumimoji="1" lang="ja-JP" altLang="en-US" sz="1100" b="0">
              <a:solidFill>
                <a:srgbClr val="002060"/>
              </a:solidFill>
            </a:rPr>
            <a:t>　（</a:t>
          </a:r>
          <a:r>
            <a:rPr kumimoji="1" lang="en-US" altLang="ja-JP" sz="1100" b="0">
              <a:solidFill>
                <a:srgbClr val="002060"/>
              </a:solidFill>
            </a:rPr>
            <a:t>indirect</a:t>
          </a:r>
          <a:r>
            <a:rPr kumimoji="1" lang="ja-JP" altLang="en-US" sz="1100" b="0">
              <a:solidFill>
                <a:srgbClr val="002060"/>
              </a:solidFill>
            </a:rPr>
            <a:t>と名前を利用して、条件でリストが変更される）</a:t>
          </a:r>
          <a:endParaRPr kumimoji="1" lang="en-US" altLang="ja-JP" sz="1100" b="0">
            <a:solidFill>
              <a:srgbClr val="002060"/>
            </a:solidFill>
          </a:endParaRPr>
        </a:p>
        <a:p>
          <a:r>
            <a:rPr kumimoji="1" lang="ja-JP" altLang="en-US" sz="1100" b="0">
              <a:solidFill>
                <a:srgbClr val="002060"/>
              </a:solidFill>
            </a:rPr>
            <a:t>・図（透明の図を上に乗せて下のデータを触れないように）</a:t>
          </a:r>
          <a:endParaRPr kumimoji="1" lang="en-US" altLang="ja-JP" sz="1100" b="0">
            <a:solidFill>
              <a:srgbClr val="002060"/>
            </a:solidFill>
          </a:endParaRPr>
        </a:p>
        <a:p>
          <a:r>
            <a:rPr kumimoji="1" lang="ja-JP" altLang="en-US" sz="1100" b="0">
              <a:solidFill>
                <a:srgbClr val="002060"/>
              </a:solidFill>
            </a:rPr>
            <a:t>・セルのグループ化（詳細計算セルを非表示用）</a:t>
          </a:r>
          <a:endParaRPr kumimoji="1" lang="en-US" altLang="ja-JP" sz="1100" b="0">
            <a:solidFill>
              <a:srgbClr val="002060"/>
            </a:solidFill>
          </a:endParaRPr>
        </a:p>
        <a:p>
          <a:r>
            <a:rPr kumimoji="1" lang="ja-JP" altLang="en-US" sz="1100" b="0">
              <a:solidFill>
                <a:srgbClr val="002060"/>
              </a:solidFill>
            </a:rPr>
            <a:t>・セルの書式設定内のユーザー定義（均等割り軽減数頭に</a:t>
          </a:r>
          <a:r>
            <a:rPr kumimoji="1" lang="en-US" altLang="ja-JP" sz="1100" b="0">
              <a:solidFill>
                <a:srgbClr val="002060"/>
              </a:solidFill>
            </a:rPr>
            <a:t>×</a:t>
          </a:r>
          <a:r>
            <a:rPr kumimoji="1" lang="ja-JP" altLang="en-US" sz="1100" b="0">
              <a:solidFill>
                <a:srgbClr val="002060"/>
              </a:solidFill>
            </a:rPr>
            <a:t>表示）</a:t>
          </a:r>
          <a:endParaRPr kumimoji="1" lang="en-US" altLang="ja-JP" sz="1100" b="0">
            <a:solidFill>
              <a:srgbClr val="00206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V46"/>
  <sheetViews>
    <sheetView showGridLines="0" tabSelected="1" view="pageBreakPreview" topLeftCell="A8" zoomScale="85" zoomScaleNormal="85" zoomScaleSheetLayoutView="85" workbookViewId="0">
      <selection activeCell="AV18" sqref="AV18"/>
    </sheetView>
  </sheetViews>
  <sheetFormatPr defaultRowHeight="18" outlineLevelCol="1"/>
  <cols>
    <col min="1" max="1" width="1.69921875" customWidth="1"/>
    <col min="2" max="2" width="1.09765625" customWidth="1"/>
    <col min="3" max="3" width="11.69921875" customWidth="1"/>
    <col min="4" max="4" width="3" customWidth="1"/>
    <col min="5" max="5" width="15" customWidth="1"/>
    <col min="6" max="6" width="13.5" customWidth="1"/>
    <col min="7" max="7" width="0.8984375" customWidth="1"/>
    <col min="8" max="8" width="12.69921875" customWidth="1"/>
    <col min="9" max="10" width="12.59765625" customWidth="1"/>
    <col min="11" max="11" width="0.59765625" customWidth="1"/>
    <col min="12" max="12" width="10.19921875" hidden="1" customWidth="1" outlineLevel="1"/>
    <col min="13" max="13" width="10.09765625" hidden="1" customWidth="1" outlineLevel="1"/>
    <col min="14" max="14" width="8.19921875" hidden="1" customWidth="1" outlineLevel="1"/>
    <col min="15" max="15" width="8.8984375" hidden="1" customWidth="1" outlineLevel="1"/>
    <col min="16" max="16" width="9.5" hidden="1" customWidth="1" outlineLevel="1"/>
    <col min="17" max="17" width="10" hidden="1" customWidth="1" outlineLevel="1"/>
    <col min="18" max="18" width="9.5" hidden="1" customWidth="1" outlineLevel="1"/>
    <col min="19" max="19" width="9.59765625" hidden="1" customWidth="1" outlineLevel="1"/>
    <col min="20" max="20" width="9.69921875" hidden="1" customWidth="1" outlineLevel="1"/>
    <col min="21" max="21" width="1" customWidth="1" collapsed="1"/>
    <col min="22" max="22" width="10.5" customWidth="1"/>
    <col min="23" max="23" width="0.296875" customWidth="1"/>
    <col min="24" max="24" width="7.3984375" customWidth="1"/>
    <col min="25" max="25" width="0.69921875" customWidth="1"/>
    <col min="26" max="26" width="6.69921875" customWidth="1"/>
    <col min="27" max="27" width="5.59765625" customWidth="1"/>
    <col min="28" max="28" width="0.69921875" customWidth="1"/>
    <col min="29" max="29" width="10" customWidth="1"/>
    <col min="30" max="30" width="0.296875" customWidth="1"/>
    <col min="31" max="31" width="7" customWidth="1"/>
    <col min="32" max="32" width="0.69921875" customWidth="1"/>
    <col min="33" max="33" width="5.69921875" customWidth="1"/>
    <col min="34" max="34" width="5.3984375" customWidth="1"/>
    <col min="35" max="35" width="0.69921875" customWidth="1"/>
    <col min="36" max="36" width="10.69921875" customWidth="1"/>
    <col min="37" max="37" width="0.296875" customWidth="1"/>
    <col min="38" max="38" width="7" customWidth="1"/>
    <col min="39" max="39" width="0.69921875" customWidth="1"/>
    <col min="40" max="41" width="5.69921875" customWidth="1"/>
    <col min="42" max="42" width="0.69921875" customWidth="1"/>
    <col min="43" max="43" width="10.69921875" customWidth="1"/>
    <col min="44" max="44" width="0.296875" customWidth="1"/>
    <col min="45" max="45" width="7" customWidth="1"/>
    <col min="46" max="46" width="0.69921875" customWidth="1"/>
    <col min="47" max="48" width="5.69921875" customWidth="1"/>
    <col min="49" max="49" width="1" customWidth="1"/>
  </cols>
  <sheetData>
    <row r="2" spans="2:48" ht="12" customHeight="1"/>
    <row r="3" spans="2:48" ht="30" customHeight="1" thickBot="1">
      <c r="D3" s="78"/>
      <c r="F3" s="296" t="s">
        <v>106</v>
      </c>
      <c r="G3" s="297"/>
      <c r="H3" s="297"/>
      <c r="I3" s="298"/>
      <c r="J3" s="293" t="s">
        <v>8</v>
      </c>
      <c r="K3" s="293"/>
      <c r="L3" s="293"/>
      <c r="M3" s="293"/>
      <c r="N3" s="293"/>
      <c r="O3" s="293"/>
      <c r="P3" s="293"/>
      <c r="Q3" s="293"/>
      <c r="R3" s="293"/>
      <c r="S3" s="293"/>
      <c r="T3" s="293"/>
      <c r="U3" s="293"/>
      <c r="V3" s="293"/>
    </row>
    <row r="4" spans="2:48" ht="29.4" customHeight="1" thickBot="1">
      <c r="F4" s="299">
        <f>IF(C17="--選択してください--",0,Z43+AG43+AN43)</f>
        <v>0</v>
      </c>
      <c r="G4" s="300"/>
      <c r="H4" s="300"/>
      <c r="I4" s="301"/>
      <c r="J4" s="106" t="s">
        <v>108</v>
      </c>
      <c r="M4" s="94"/>
      <c r="V4" s="110">
        <f>ROUND(F4/12,0)</f>
        <v>0</v>
      </c>
      <c r="X4" t="s">
        <v>104</v>
      </c>
    </row>
    <row r="5" spans="2:48" ht="11.4" customHeight="1">
      <c r="F5" s="302"/>
      <c r="G5" s="303"/>
      <c r="H5" s="303"/>
      <c r="I5" s="304"/>
      <c r="J5" s="206"/>
      <c r="M5" s="4"/>
    </row>
    <row r="6" spans="2:48" ht="30" customHeight="1" thickBot="1">
      <c r="F6" s="3"/>
      <c r="G6" s="4"/>
      <c r="H6" s="4"/>
      <c r="I6" s="109"/>
      <c r="J6" s="294" t="s">
        <v>80</v>
      </c>
      <c r="K6" s="295"/>
      <c r="L6" s="295"/>
      <c r="M6" s="295"/>
      <c r="N6" s="295"/>
      <c r="O6" s="295"/>
      <c r="P6" s="295"/>
      <c r="Q6" s="295"/>
      <c r="R6" s="295"/>
      <c r="S6" s="295"/>
      <c r="T6" s="295"/>
      <c r="U6" s="295"/>
      <c r="V6" s="295"/>
    </row>
    <row r="7" spans="2:48" ht="29.4" customHeight="1" thickBot="1">
      <c r="J7" s="106" t="s">
        <v>109</v>
      </c>
      <c r="V7" s="105">
        <f>ROUND(F4/10,0)</f>
        <v>0</v>
      </c>
      <c r="X7" t="s">
        <v>105</v>
      </c>
    </row>
    <row r="8" spans="2:48" ht="11.4" customHeight="1">
      <c r="F8" s="3"/>
      <c r="G8" s="4"/>
      <c r="H8" s="4"/>
      <c r="I8" s="109"/>
      <c r="J8" s="206"/>
      <c r="M8" s="4"/>
    </row>
    <row r="9" spans="2:48" ht="30" customHeight="1" thickBot="1">
      <c r="F9" s="117" t="s">
        <v>14</v>
      </c>
      <c r="G9" s="207" t="s">
        <v>107</v>
      </c>
      <c r="H9" s="208"/>
      <c r="I9" s="228"/>
      <c r="J9" s="295" t="s">
        <v>81</v>
      </c>
      <c r="K9" s="295"/>
      <c r="L9" s="295"/>
      <c r="M9" s="295"/>
      <c r="N9" s="295"/>
      <c r="O9" s="295"/>
      <c r="P9" s="295"/>
      <c r="Q9" s="295"/>
      <c r="R9" s="295"/>
      <c r="S9" s="295"/>
      <c r="T9" s="295"/>
      <c r="U9" s="295"/>
      <c r="V9" s="295"/>
    </row>
    <row r="10" spans="2:48" ht="29.4" customHeight="1" thickBot="1">
      <c r="D10" s="107"/>
      <c r="F10" s="108">
        <f>COUNTA(E17:E35)-IF(C17="国保に入らない",1,0)</f>
        <v>0</v>
      </c>
      <c r="G10" s="209" t="str">
        <f>VLOOKUP(S38,R42:T45,2,TRUE)</f>
        <v>７割軽減</v>
      </c>
      <c r="H10" s="210"/>
      <c r="I10" s="211"/>
      <c r="J10" s="106" t="s">
        <v>110</v>
      </c>
      <c r="M10" s="17"/>
      <c r="V10" s="105">
        <f>ROUND(F4/6,0)</f>
        <v>0</v>
      </c>
      <c r="X10" t="s">
        <v>105</v>
      </c>
    </row>
    <row r="11" spans="2:48" ht="27.6" customHeight="1"/>
    <row r="12" spans="2:48" ht="26.4" customHeight="1">
      <c r="B12" s="12"/>
      <c r="C12" s="12"/>
      <c r="D12" s="12"/>
      <c r="E12" s="12"/>
      <c r="F12" s="12"/>
      <c r="G12" s="12"/>
      <c r="H12" s="12"/>
      <c r="I12" s="12"/>
      <c r="J12" s="12"/>
      <c r="K12" s="12"/>
      <c r="L12" s="12"/>
      <c r="M12" s="12"/>
      <c r="N12" s="12"/>
      <c r="O12" s="12"/>
      <c r="P12" s="12"/>
      <c r="Q12" s="12"/>
      <c r="R12" s="12"/>
      <c r="S12" s="12"/>
      <c r="T12" s="12"/>
      <c r="V12" s="248" t="s">
        <v>10</v>
      </c>
      <c r="W12" s="249"/>
      <c r="X12" s="249"/>
      <c r="Y12" s="249"/>
      <c r="Z12" s="249"/>
      <c r="AA12" s="249"/>
      <c r="AB12" s="4"/>
      <c r="AC12" s="250" t="s">
        <v>9</v>
      </c>
      <c r="AD12" s="250"/>
      <c r="AE12" s="250"/>
      <c r="AF12" s="250"/>
      <c r="AG12" s="250"/>
      <c r="AH12" s="250"/>
      <c r="AI12" s="4"/>
      <c r="AJ12" s="267" t="s">
        <v>82</v>
      </c>
      <c r="AK12" s="268"/>
      <c r="AL12" s="268"/>
      <c r="AM12" s="268"/>
      <c r="AN12" s="268"/>
      <c r="AO12" s="268"/>
      <c r="AQ12" s="283" t="s">
        <v>112</v>
      </c>
      <c r="AR12" s="284"/>
      <c r="AS12" s="284"/>
      <c r="AT12" s="284"/>
      <c r="AU12" s="284"/>
      <c r="AV12" s="284"/>
    </row>
    <row r="13" spans="2:48" ht="49.95" customHeight="1">
      <c r="B13" s="12"/>
      <c r="C13" s="12"/>
      <c r="D13" s="12"/>
      <c r="E13" s="157"/>
      <c r="F13" s="157"/>
      <c r="G13" s="12"/>
      <c r="H13" s="251" t="s">
        <v>114</v>
      </c>
      <c r="I13" s="252" t="s">
        <v>85</v>
      </c>
      <c r="J13" s="253" t="s">
        <v>96</v>
      </c>
      <c r="K13" s="12"/>
      <c r="L13" s="12"/>
      <c r="M13" s="12"/>
      <c r="N13" s="12"/>
      <c r="O13" s="12"/>
      <c r="P13" s="12"/>
      <c r="Q13" s="12"/>
      <c r="R13" s="12"/>
      <c r="S13" s="12"/>
      <c r="T13" s="12"/>
      <c r="V13" s="254" t="s">
        <v>13</v>
      </c>
      <c r="W13" s="120"/>
      <c r="X13" s="256" t="s">
        <v>11</v>
      </c>
      <c r="Y13" s="257"/>
      <c r="Z13" s="257"/>
      <c r="AA13" s="257"/>
      <c r="AB13" s="4"/>
      <c r="AC13" s="264" t="s">
        <v>13</v>
      </c>
      <c r="AD13" s="121"/>
      <c r="AE13" s="260" t="s">
        <v>11</v>
      </c>
      <c r="AF13" s="261"/>
      <c r="AG13" s="261"/>
      <c r="AH13" s="261"/>
      <c r="AI13" s="4"/>
      <c r="AJ13" s="269" t="s">
        <v>13</v>
      </c>
      <c r="AK13" s="122"/>
      <c r="AL13" s="271" t="s">
        <v>11</v>
      </c>
      <c r="AM13" s="272"/>
      <c r="AN13" s="272"/>
      <c r="AO13" s="272"/>
      <c r="AQ13" s="285" t="s">
        <v>13</v>
      </c>
      <c r="AR13" s="122"/>
      <c r="AS13" s="287" t="s">
        <v>11</v>
      </c>
      <c r="AT13" s="288"/>
      <c r="AU13" s="288"/>
      <c r="AV13" s="288"/>
    </row>
    <row r="14" spans="2:48" ht="32.4" customHeight="1" thickBot="1">
      <c r="B14" s="12"/>
      <c r="C14" s="12"/>
      <c r="D14" s="154"/>
      <c r="E14" s="155" t="s">
        <v>2</v>
      </c>
      <c r="F14" s="156" t="s">
        <v>79</v>
      </c>
      <c r="G14" s="12"/>
      <c r="H14" s="251"/>
      <c r="I14" s="252"/>
      <c r="J14" s="253"/>
      <c r="K14" s="12"/>
      <c r="L14" s="36" t="s">
        <v>78</v>
      </c>
      <c r="M14" s="20" t="s">
        <v>15</v>
      </c>
      <c r="N14" s="21" t="s">
        <v>26</v>
      </c>
      <c r="O14" s="21" t="s">
        <v>28</v>
      </c>
      <c r="P14" s="21" t="s">
        <v>27</v>
      </c>
      <c r="Q14" s="21" t="s">
        <v>25</v>
      </c>
      <c r="R14" s="236" t="s">
        <v>118</v>
      </c>
      <c r="S14" s="22" t="s">
        <v>16</v>
      </c>
      <c r="T14" s="23" t="s">
        <v>17</v>
      </c>
      <c r="U14" s="91"/>
      <c r="V14" s="255"/>
      <c r="W14" s="33"/>
      <c r="X14" s="258"/>
      <c r="Y14" s="259"/>
      <c r="Z14" s="259"/>
      <c r="AA14" s="259"/>
      <c r="AC14" s="265"/>
      <c r="AD14" s="33"/>
      <c r="AE14" s="262"/>
      <c r="AF14" s="263"/>
      <c r="AG14" s="263"/>
      <c r="AH14" s="263"/>
      <c r="AI14" s="35"/>
      <c r="AJ14" s="270"/>
      <c r="AK14" s="33"/>
      <c r="AL14" s="273"/>
      <c r="AM14" s="274"/>
      <c r="AN14" s="274"/>
      <c r="AO14" s="274"/>
      <c r="AQ14" s="286"/>
      <c r="AR14" s="33"/>
      <c r="AS14" s="289"/>
      <c r="AT14" s="290"/>
      <c r="AU14" s="290"/>
      <c r="AV14" s="290"/>
    </row>
    <row r="15" spans="2:48" ht="20.399999999999999" customHeight="1" thickTop="1">
      <c r="B15" s="12"/>
      <c r="C15" s="214" t="s">
        <v>103</v>
      </c>
      <c r="D15" s="215"/>
      <c r="E15" s="104" t="s">
        <v>83</v>
      </c>
      <c r="F15" s="153"/>
      <c r="G15" s="12"/>
      <c r="H15" s="251"/>
      <c r="I15" s="252"/>
      <c r="J15" s="253"/>
      <c r="K15" s="12"/>
      <c r="L15" s="12"/>
      <c r="M15" s="36"/>
      <c r="N15" s="37"/>
      <c r="O15" s="37"/>
      <c r="P15" s="37"/>
      <c r="Q15" s="37"/>
      <c r="R15" s="12"/>
      <c r="S15" s="38"/>
      <c r="T15" s="37"/>
      <c r="U15" s="91"/>
      <c r="V15" s="177">
        <f>リスト!C3</f>
        <v>9.1999999999999998E-2</v>
      </c>
      <c r="W15" s="26"/>
      <c r="X15" s="219">
        <f>リスト!C4</f>
        <v>26600</v>
      </c>
      <c r="Y15" s="30"/>
      <c r="Z15" s="30"/>
      <c r="AA15" s="30"/>
      <c r="AC15" s="125">
        <f>リスト!D3</f>
        <v>2.9000000000000001E-2</v>
      </c>
      <c r="AD15" s="26"/>
      <c r="AE15" s="220">
        <f>リスト!D4</f>
        <v>9000</v>
      </c>
      <c r="AF15" s="31"/>
      <c r="AG15" s="31"/>
      <c r="AH15" s="31"/>
      <c r="AJ15" s="178">
        <f>リスト!E3</f>
        <v>2.4E-2</v>
      </c>
      <c r="AK15" s="176"/>
      <c r="AL15" s="221">
        <f>リスト!E4</f>
        <v>9600</v>
      </c>
      <c r="AM15" s="32"/>
      <c r="AN15" s="32"/>
      <c r="AO15" s="32"/>
      <c r="AQ15" s="243">
        <f>リスト!F3</f>
        <v>3.2000000000000002E-3</v>
      </c>
      <c r="AR15" s="176"/>
      <c r="AS15" s="222">
        <f>リスト!F4</f>
        <v>1181</v>
      </c>
      <c r="AT15" s="197"/>
      <c r="AU15" s="197"/>
      <c r="AV15" s="197"/>
    </row>
    <row r="16" spans="2:48" ht="4.2" customHeight="1" thickBot="1">
      <c r="B16" s="12"/>
      <c r="C16" s="204"/>
      <c r="D16" s="205"/>
      <c r="E16" s="145"/>
      <c r="F16" s="145"/>
      <c r="G16" s="145"/>
      <c r="H16" s="146"/>
      <c r="I16" s="146"/>
      <c r="J16" s="146"/>
      <c r="K16" s="12"/>
      <c r="L16" s="12"/>
      <c r="M16" s="12"/>
      <c r="N16" s="12"/>
      <c r="O16" s="12"/>
      <c r="P16" s="12"/>
      <c r="Q16" s="12"/>
      <c r="R16" s="12"/>
      <c r="S16" s="16"/>
      <c r="T16" s="12"/>
      <c r="V16" s="176"/>
      <c r="W16" s="26"/>
      <c r="X16" s="33"/>
      <c r="Y16" s="4"/>
      <c r="AC16" s="29"/>
      <c r="AD16" s="26"/>
      <c r="AE16" s="33"/>
      <c r="AJ16" s="33"/>
      <c r="AK16" s="26"/>
      <c r="AL16" s="26"/>
      <c r="AQ16" s="33"/>
      <c r="AR16" s="26"/>
      <c r="AS16" s="26"/>
    </row>
    <row r="17" spans="2:48" ht="19.2" thickTop="1" thickBot="1">
      <c r="B17" s="12"/>
      <c r="C17" s="246" t="s">
        <v>31</v>
      </c>
      <c r="D17" s="247"/>
      <c r="E17" s="152"/>
      <c r="F17" s="147"/>
      <c r="G17" s="148"/>
      <c r="H17" s="149"/>
      <c r="I17" s="150"/>
      <c r="J17" s="151"/>
      <c r="K17" s="12"/>
      <c r="L17" s="241" t="str">
        <f>IF(E17=リスト!$I$11,"A",IF(E17=リスト!$J$11,"B",IF(E17=リスト!$K$11,"I",IF(E17=リスト!$L$11,"H",IF(E17=リスト!$M$11,"D",IF(E17=リスト!$N$11,"E",IF(E17=リスト!$O$11,"F","G")))))))</f>
        <v>G</v>
      </c>
      <c r="M17" s="80">
        <f>年金所得への変更用!O3</f>
        <v>0</v>
      </c>
      <c r="N17" s="81">
        <f>IF(F17="非自発的失業",0.3,1)</f>
        <v>1</v>
      </c>
      <c r="O17" s="82">
        <f>M17*N17</f>
        <v>0</v>
      </c>
      <c r="P17" s="82">
        <f>年金所得への変更用!I3</f>
        <v>0</v>
      </c>
      <c r="Q17" s="82">
        <f>年金所得への変更用!K3</f>
        <v>0</v>
      </c>
      <c r="R17" s="38">
        <f t="shared" ref="R17:R36" si="0">IF(OR(H17&gt;0,P17&gt;0),1,0)</f>
        <v>0</v>
      </c>
      <c r="S17" s="80">
        <f>O17+J17+Q17</f>
        <v>0</v>
      </c>
      <c r="T17" s="83">
        <f>MAX(0,O17+J17+P17-リスト!$C$8)</f>
        <v>0</v>
      </c>
      <c r="U17" s="114"/>
      <c r="V17" s="111">
        <f>IF(OR(AA17=0,F17="旧被扶養者"),0,INT(T17*$V$15))*IF(F17="産前産後",(8/12),1)</f>
        <v>0</v>
      </c>
      <c r="W17" s="26"/>
      <c r="X17" s="25">
        <f>+Z17*AA17</f>
        <v>0</v>
      </c>
      <c r="Y17" s="49" t="s">
        <v>23</v>
      </c>
      <c r="Z17" s="50">
        <f>IF(L17="A",$X$15/2,IF(F17="産前産後",$X$15*8/12,$X$15))</f>
        <v>26600</v>
      </c>
      <c r="AA17" s="100">
        <f>IF(OR(E17=0,$C$17="国保に入らない"),0,IF($G$10="７割軽減",0.3,IF(F17="旧被扶養者",0.5,$S$40)))</f>
        <v>0</v>
      </c>
      <c r="AC17" s="79">
        <f>IF(OR(AH17=0,F17="旧被扶養者"),0,INT(T17*$AC$15))*IF(F17="産前産後",(8/12),1)</f>
        <v>0</v>
      </c>
      <c r="AD17" s="26"/>
      <c r="AE17" s="27">
        <f>AG17*AH17</f>
        <v>0</v>
      </c>
      <c r="AF17" s="54" t="s">
        <v>47</v>
      </c>
      <c r="AG17" s="55">
        <f>IF(L17="A",$AE$15/2,IF(F17="産前産後",$AE$15*8/12,$AE$15))</f>
        <v>9000</v>
      </c>
      <c r="AH17" s="102">
        <f>IF(OR(E17=0,$C$17="国保に入らない"),0,IF($G$10="７割軽減",0.3,IF(F17="旧被扶養者",0.5,$S$40)))</f>
        <v>0</v>
      </c>
      <c r="AJ17" s="28">
        <f>IF(AO17=0,0,IF(L17="D",INT(T17*$AJ$15),0))*IF(F17="産前産後",(8/12),1)</f>
        <v>0</v>
      </c>
      <c r="AK17" s="26"/>
      <c r="AL17" s="28">
        <f>AN17*AO17</f>
        <v>0</v>
      </c>
      <c r="AM17" s="58" t="s">
        <v>47</v>
      </c>
      <c r="AN17" s="56">
        <f>IF(F17="産前産後",AL$15*8/12,AL$15)</f>
        <v>9600</v>
      </c>
      <c r="AO17" s="103">
        <f>IF($C$17="国保に入らない",0,IF(L17="D",$S$40,0))</f>
        <v>0</v>
      </c>
      <c r="AQ17" s="195">
        <f>INT(IF(OR(AV17=0,F17="旧被扶養者"),0,T17*$AQ$15)*IF(F17="産前産後",(8/12),1))</f>
        <v>0</v>
      </c>
      <c r="AR17" s="26"/>
      <c r="AS17" s="195">
        <f>INT(AU17*AV17)</f>
        <v>0</v>
      </c>
      <c r="AT17" s="58" t="s">
        <v>23</v>
      </c>
      <c r="AU17" s="198">
        <f>IF(OR(L17="A",L17="B",L17="I"),0,IF(F17="産前産後",$AS$15*8/12,$AS$15))</f>
        <v>1181</v>
      </c>
      <c r="AV17" s="199">
        <f>IF(OR(E17=0,$C$17="国保に入らない"),0,$S$40)</f>
        <v>0</v>
      </c>
    </row>
    <row r="18" spans="2:48" ht="4.2" customHeight="1" thickTop="1">
      <c r="B18" s="12"/>
      <c r="C18" s="13"/>
      <c r="D18" s="13"/>
      <c r="E18" s="144"/>
      <c r="F18" s="144"/>
      <c r="G18" s="12"/>
      <c r="H18" s="43"/>
      <c r="I18" s="44"/>
      <c r="J18" s="45"/>
      <c r="K18" s="12"/>
      <c r="L18" s="241"/>
      <c r="M18" s="38">
        <f>年金所得への変更用!O4</f>
        <v>0</v>
      </c>
      <c r="N18" s="38"/>
      <c r="O18" s="84">
        <f t="shared" ref="O18:O35" si="1">M18*N18</f>
        <v>0</v>
      </c>
      <c r="P18" s="85">
        <f>年金所得への変更用!I4</f>
        <v>0</v>
      </c>
      <c r="Q18" s="84">
        <f>年金所得への変更用!K4</f>
        <v>0</v>
      </c>
      <c r="R18" s="38">
        <f t="shared" si="0"/>
        <v>0</v>
      </c>
      <c r="S18" s="86"/>
      <c r="T18" s="83">
        <f>MAX(0,O18+J18+P18-リスト!$C$8)</f>
        <v>0</v>
      </c>
      <c r="U18" s="92"/>
      <c r="V18" s="29"/>
      <c r="W18" s="26"/>
      <c r="X18" s="26"/>
      <c r="Y18" s="51"/>
      <c r="Z18" s="52"/>
      <c r="AA18" s="53"/>
      <c r="AC18" s="29"/>
      <c r="AD18" s="26"/>
      <c r="AE18" s="26"/>
      <c r="AF18" s="53"/>
      <c r="AG18" s="52"/>
      <c r="AH18" s="53"/>
      <c r="AJ18" s="26"/>
      <c r="AK18" s="26"/>
      <c r="AL18" s="26"/>
      <c r="AM18" s="57"/>
      <c r="AN18" s="57"/>
      <c r="AO18" s="57"/>
      <c r="AQ18" s="26"/>
      <c r="AR18" s="26"/>
      <c r="AS18" s="26"/>
      <c r="AT18" s="57"/>
      <c r="AU18" s="57"/>
      <c r="AV18" s="57"/>
    </row>
    <row r="19" spans="2:48">
      <c r="B19" s="12"/>
      <c r="C19" s="216" t="s">
        <v>1</v>
      </c>
      <c r="D19" s="217">
        <f>IF(C17="国保加入者１",2,1)</f>
        <v>1</v>
      </c>
      <c r="E19" s="97"/>
      <c r="F19" s="95"/>
      <c r="G19" s="12"/>
      <c r="H19" s="40"/>
      <c r="I19" s="41"/>
      <c r="J19" s="42"/>
      <c r="K19" s="12"/>
      <c r="L19" s="241" t="str">
        <f>IF(E19=リスト!$I$11,"A",IF(E19=リスト!$J$11,"B",IF(E19=リスト!$K$11,"I",IF(E19=リスト!$L$11,"H",IF(E19=リスト!$M$11,"D",IF(E19=リスト!$N$11,"E",IF(E19=リスト!$O$11,"F","G")))))))</f>
        <v>G</v>
      </c>
      <c r="M19" s="22">
        <f>年金所得への変更用!O5</f>
        <v>0</v>
      </c>
      <c r="N19" s="81">
        <f>IF(F19="非自発的失業",0.3,1)</f>
        <v>1</v>
      </c>
      <c r="O19" s="82">
        <f t="shared" si="1"/>
        <v>0</v>
      </c>
      <c r="P19" s="82">
        <f>年金所得への変更用!I5</f>
        <v>0</v>
      </c>
      <c r="Q19" s="82">
        <f>年金所得への変更用!K5</f>
        <v>0</v>
      </c>
      <c r="R19" s="38">
        <f t="shared" si="0"/>
        <v>0</v>
      </c>
      <c r="S19" s="80">
        <f>O19+J19+Q19</f>
        <v>0</v>
      </c>
      <c r="T19" s="83">
        <f>MAX(0,O19+J19+P19-リスト!$C$8)</f>
        <v>0</v>
      </c>
      <c r="U19" s="114"/>
      <c r="V19" s="111">
        <f>IF(OR(E19=0,F19="旧被扶養者"),0,INT(T19*$V$15))*IF(F19="産前産後",(8/12),1)</f>
        <v>0</v>
      </c>
      <c r="W19" s="26"/>
      <c r="X19" s="25">
        <f>+Z19*AA19</f>
        <v>0</v>
      </c>
      <c r="Y19" s="49" t="s">
        <v>23</v>
      </c>
      <c r="Z19" s="50">
        <f>IF(L19="A",$X$15/2,IF(F19="産前産後",$X$15*8/12,$X$15))</f>
        <v>26600</v>
      </c>
      <c r="AA19" s="100">
        <f>IF(E19="",0,IF($G$10="７割軽減",0.3,IF(F19="旧被扶養者",0.5,$S$40)))</f>
        <v>0</v>
      </c>
      <c r="AC19" s="79">
        <f>IF(OR(E19=0,F19="旧被扶養者"),0,INT(T19*$AC$15))*IF(F19="産前産後",(8/12),1)</f>
        <v>0</v>
      </c>
      <c r="AD19" s="26"/>
      <c r="AE19" s="27">
        <f>AG19*AH19</f>
        <v>0</v>
      </c>
      <c r="AF19" s="54" t="s">
        <v>47</v>
      </c>
      <c r="AG19" s="55">
        <f>IF(L19="A",$AE$15/2,IF(F17="産前産後",$AE$15*8/12,$AE$15))</f>
        <v>9000</v>
      </c>
      <c r="AH19" s="102">
        <f>IF(E19=0,0,IF($G$10="７割軽減",0.3,IF(F19="旧被扶養者",0.5,$S$40)))</f>
        <v>0</v>
      </c>
      <c r="AJ19" s="28">
        <f>IF(AO19=0,0,IF(L19="D",INT(T19*$AJ$15),0))*IF(F19="産前産後",(8/12),1)</f>
        <v>0</v>
      </c>
      <c r="AK19" s="26"/>
      <c r="AL19" s="28">
        <f>AN19*AO19</f>
        <v>0</v>
      </c>
      <c r="AM19" s="58" t="s">
        <v>47</v>
      </c>
      <c r="AN19" s="56">
        <f>IF(F19="産前産後",AL$15*8/12,AL$15)</f>
        <v>9600</v>
      </c>
      <c r="AO19" s="103">
        <f>IF(L19="D",$S$40,0)</f>
        <v>0</v>
      </c>
      <c r="AQ19" s="195">
        <f>INT(IF(OR(E19=0,F19="旧被扶養者"),0,T19*$AQ$15)*IF(F19="産前産後",(8/12),1))</f>
        <v>0</v>
      </c>
      <c r="AR19" s="26"/>
      <c r="AS19" s="195">
        <f>INT(AU19*AV19)</f>
        <v>0</v>
      </c>
      <c r="AT19" s="58" t="s">
        <v>23</v>
      </c>
      <c r="AU19" s="198">
        <f>IF(OR(L19="A",L19="B",L19="I"),0,IF(F19="産前産後",$AS$15*8/12,$AS$15))</f>
        <v>1181</v>
      </c>
      <c r="AV19" s="199">
        <f>IF(E19=0,0,IF(F19="旧被扶養者",0,$S$40))</f>
        <v>0</v>
      </c>
    </row>
    <row r="20" spans="2:48" ht="4.2" customHeight="1">
      <c r="B20" s="12"/>
      <c r="C20" s="18"/>
      <c r="D20" s="19"/>
      <c r="E20" s="96"/>
      <c r="F20" s="96"/>
      <c r="G20" s="12"/>
      <c r="H20" s="43"/>
      <c r="I20" s="44"/>
      <c r="J20" s="45"/>
      <c r="K20" s="12"/>
      <c r="L20" s="241"/>
      <c r="M20" s="38">
        <f>年金所得への変更用!O6</f>
        <v>0</v>
      </c>
      <c r="N20" s="38"/>
      <c r="O20" s="84">
        <f t="shared" si="1"/>
        <v>0</v>
      </c>
      <c r="P20" s="85">
        <f>年金所得への変更用!I6</f>
        <v>0</v>
      </c>
      <c r="Q20" s="84">
        <f>年金所得への変更用!K6</f>
        <v>0</v>
      </c>
      <c r="R20" s="38">
        <f t="shared" si="0"/>
        <v>0</v>
      </c>
      <c r="S20" s="86"/>
      <c r="T20" s="83">
        <f>MAX(0,O20+J20+P20-リスト!$C$8)</f>
        <v>0</v>
      </c>
      <c r="U20" s="92"/>
      <c r="V20" s="29"/>
      <c r="W20" s="26"/>
      <c r="X20" s="26"/>
      <c r="Y20" s="51"/>
      <c r="Z20" s="52"/>
      <c r="AA20" s="53"/>
      <c r="AC20" s="29"/>
      <c r="AD20" s="26"/>
      <c r="AE20" s="26"/>
      <c r="AF20" s="53"/>
      <c r="AG20" s="52"/>
      <c r="AH20" s="53"/>
      <c r="AJ20" s="26"/>
      <c r="AK20" s="26"/>
      <c r="AL20" s="26"/>
      <c r="AM20" s="57"/>
      <c r="AN20" s="57"/>
      <c r="AO20" s="57"/>
      <c r="AQ20" s="26"/>
      <c r="AR20" s="26"/>
      <c r="AS20" s="26"/>
      <c r="AT20" s="57"/>
      <c r="AU20" s="308"/>
      <c r="AV20" s="308"/>
    </row>
    <row r="21" spans="2:48">
      <c r="B21" s="12"/>
      <c r="C21" s="216" t="s">
        <v>1</v>
      </c>
      <c r="D21" s="217">
        <f>D19+1</f>
        <v>2</v>
      </c>
      <c r="E21" s="97"/>
      <c r="F21" s="95"/>
      <c r="G21" s="12"/>
      <c r="H21" s="40"/>
      <c r="I21" s="41"/>
      <c r="J21" s="42"/>
      <c r="K21" s="12"/>
      <c r="L21" s="241" t="str">
        <f>IF(E21=リスト!$I$11,"A",IF(E21=リスト!$J$11,"B",IF(E21=リスト!$K$11,"I",IF(E21=リスト!$L$11,"H",IF(E21=リスト!$M$11,"D",IF(E21=リスト!$N$11,"E",IF(E21=リスト!$O$11,"F","G")))))))</f>
        <v>G</v>
      </c>
      <c r="M21" s="80">
        <f>年金所得への変更用!O7</f>
        <v>0</v>
      </c>
      <c r="N21" s="81">
        <f>IF(F21="非自発的失業",0.3,1)</f>
        <v>1</v>
      </c>
      <c r="O21" s="82">
        <f t="shared" si="1"/>
        <v>0</v>
      </c>
      <c r="P21" s="82">
        <f>年金所得への変更用!I7</f>
        <v>0</v>
      </c>
      <c r="Q21" s="82">
        <f>年金所得への変更用!K7</f>
        <v>0</v>
      </c>
      <c r="R21" s="38">
        <f t="shared" si="0"/>
        <v>0</v>
      </c>
      <c r="S21" s="80">
        <f>O21+J21+Q21</f>
        <v>0</v>
      </c>
      <c r="T21" s="83">
        <f>MAX(0,O21+J21+P21-リスト!$C$8)</f>
        <v>0</v>
      </c>
      <c r="U21" s="114"/>
      <c r="V21" s="111">
        <f>IF(OR(E21=0,F21="旧被扶養者"),0,INT(T21*$V$15))*IF(F21="産前産後",(8/12),1)</f>
        <v>0</v>
      </c>
      <c r="W21" s="26"/>
      <c r="X21" s="25">
        <f>+Z21*AA21</f>
        <v>0</v>
      </c>
      <c r="Y21" s="49" t="s">
        <v>23</v>
      </c>
      <c r="Z21" s="50">
        <f>IF(L21="A",$X$15/2,IF(F21="産前産後",$X$15*8/12,$X$15))</f>
        <v>26600</v>
      </c>
      <c r="AA21" s="100">
        <f>IF(E21="",0,IF($G$10="７割軽減",0.3,IF(F21="旧被扶養者",0.5,$S$40)))</f>
        <v>0</v>
      </c>
      <c r="AC21" s="79">
        <f>IF(OR(E21=0,F21="旧被扶養者"),0,INT(T21*$AC$15))*IF(F21="産前産後",(8/12),1)</f>
        <v>0</v>
      </c>
      <c r="AD21" s="26"/>
      <c r="AE21" s="27">
        <f>AG21*AH21</f>
        <v>0</v>
      </c>
      <c r="AF21" s="54" t="s">
        <v>23</v>
      </c>
      <c r="AG21" s="55">
        <f>IF(L21="A",$AE$15/2,IF(F19="産前産後",$AE$15*8/12,$AE$15))</f>
        <v>9000</v>
      </c>
      <c r="AH21" s="102">
        <f t="shared" ref="AH21:AH35" si="2">IF(E21=0,0,IF($G$10="７割軽減",0.3,IF(F21="旧被扶養者",0.5,$S$40)))</f>
        <v>0</v>
      </c>
      <c r="AJ21" s="28">
        <f>IF(AO21=0,0,IF(L21="D",INT(T21*$AJ$15),0))*IF(F21="産前産後",(8/12),1)</f>
        <v>0</v>
      </c>
      <c r="AK21" s="26"/>
      <c r="AL21" s="28">
        <f>AN21*AO21</f>
        <v>0</v>
      </c>
      <c r="AM21" s="58" t="s">
        <v>47</v>
      </c>
      <c r="AN21" s="56">
        <f>IF(F21="産前産後",AL$15*8/12,AL$15)</f>
        <v>9600</v>
      </c>
      <c r="AO21" s="103">
        <f>IF(L21="D",$S$40,0)</f>
        <v>0</v>
      </c>
      <c r="AQ21" s="195">
        <f>INT(IF(OR(E21=0,F21="旧被扶養者"),0,T21*$AQ$15)*IF(F21="産前産後",(8/12),1))</f>
        <v>0</v>
      </c>
      <c r="AR21" s="26"/>
      <c r="AS21" s="195">
        <f>INT(AU21*AV21)</f>
        <v>0</v>
      </c>
      <c r="AT21" s="58" t="s">
        <v>23</v>
      </c>
      <c r="AU21" s="198">
        <f>IF(OR(L21="A",L21="B",L21="I"),0,IF(F21="産前産後",$AS$15*8/12,$AS$15))</f>
        <v>1181</v>
      </c>
      <c r="AV21" s="199">
        <f>IF(E21=0,0,IF(F21="旧被扶養者",0,$S$40))</f>
        <v>0</v>
      </c>
    </row>
    <row r="22" spans="2:48" ht="4.2" customHeight="1">
      <c r="B22" s="12"/>
      <c r="C22" s="18"/>
      <c r="D22" s="19"/>
      <c r="E22" s="96"/>
      <c r="F22" s="96"/>
      <c r="G22" s="12"/>
      <c r="H22" s="43"/>
      <c r="I22" s="44"/>
      <c r="J22" s="45"/>
      <c r="K22" s="12"/>
      <c r="L22" s="241"/>
      <c r="M22" s="38">
        <f>年金所得への変更用!O8</f>
        <v>0</v>
      </c>
      <c r="N22" s="38"/>
      <c r="O22" s="84">
        <f t="shared" si="1"/>
        <v>0</v>
      </c>
      <c r="P22" s="85">
        <f>年金所得への変更用!I8</f>
        <v>0</v>
      </c>
      <c r="Q22" s="84">
        <f>年金所得への変更用!K8</f>
        <v>0</v>
      </c>
      <c r="R22" s="38">
        <f t="shared" si="0"/>
        <v>0</v>
      </c>
      <c r="S22" s="86"/>
      <c r="T22" s="83">
        <f>MAX(0,O22+J22+P22-リスト!$C$8)</f>
        <v>0</v>
      </c>
      <c r="U22" s="92"/>
      <c r="V22" s="29"/>
      <c r="W22" s="26"/>
      <c r="X22" s="26"/>
      <c r="Y22" s="51"/>
      <c r="Z22" s="52"/>
      <c r="AA22" s="53"/>
      <c r="AC22" s="29"/>
      <c r="AD22" s="26"/>
      <c r="AE22" s="26"/>
      <c r="AF22" s="53"/>
      <c r="AG22" s="52"/>
      <c r="AH22" s="53"/>
      <c r="AJ22" s="26"/>
      <c r="AK22" s="26"/>
      <c r="AL22" s="26"/>
      <c r="AM22" s="57"/>
      <c r="AN22" s="57"/>
      <c r="AO22" s="57"/>
      <c r="AQ22" s="26"/>
      <c r="AR22" s="26"/>
      <c r="AS22" s="26"/>
      <c r="AT22" s="57"/>
      <c r="AU22" s="57"/>
      <c r="AV22" s="57"/>
    </row>
    <row r="23" spans="2:48">
      <c r="B23" s="12"/>
      <c r="C23" s="216" t="s">
        <v>1</v>
      </c>
      <c r="D23" s="217">
        <f>D21+1</f>
        <v>3</v>
      </c>
      <c r="E23" s="97"/>
      <c r="F23" s="97"/>
      <c r="G23" s="12"/>
      <c r="H23" s="40"/>
      <c r="I23" s="41"/>
      <c r="J23" s="42"/>
      <c r="K23" s="12"/>
      <c r="L23" s="241" t="str">
        <f>IF(E23=リスト!$I$11,"A",IF(E23=リスト!$J$11,"B",IF(E23=リスト!$K$11,"I",IF(E23=リスト!$L$11,"H",IF(E23=リスト!$M$11,"D",IF(E23=リスト!$N$11,"E",IF(E23=リスト!$O$11,"F","G")))))))</f>
        <v>G</v>
      </c>
      <c r="M23" s="82">
        <f>年金所得への変更用!O9</f>
        <v>0</v>
      </c>
      <c r="N23" s="81">
        <f>IF(F23="非自発的失業",0.3,1)</f>
        <v>1</v>
      </c>
      <c r="O23" s="82">
        <f t="shared" si="1"/>
        <v>0</v>
      </c>
      <c r="P23" s="82">
        <f>年金所得への変更用!I9</f>
        <v>0</v>
      </c>
      <c r="Q23" s="82">
        <f>年金所得への変更用!K9</f>
        <v>0</v>
      </c>
      <c r="R23" s="38">
        <f t="shared" si="0"/>
        <v>0</v>
      </c>
      <c r="S23" s="80">
        <f>O23+J23+Q23</f>
        <v>0</v>
      </c>
      <c r="T23" s="83">
        <f>MAX(0,O23+J23+P23-リスト!$C$8)</f>
        <v>0</v>
      </c>
      <c r="U23" s="114"/>
      <c r="V23" s="111">
        <f>IF(OR(E23=0,F23="旧被扶養者"),0,INT(T23*$V$15))*IF(F23="産前産後",(8/12),1)</f>
        <v>0</v>
      </c>
      <c r="W23" s="26"/>
      <c r="X23" s="25">
        <f>+Z23*AA23</f>
        <v>0</v>
      </c>
      <c r="Y23" s="49" t="s">
        <v>23</v>
      </c>
      <c r="Z23" s="50">
        <f>IF(L23="A",$X$15/2,IF(F23="産前産後",$X$15*8/12,$X$15))</f>
        <v>26600</v>
      </c>
      <c r="AA23" s="100">
        <f>IF(E23="",0,IF($G$10="７割軽減",0.3,IF(F23="旧被扶養者",0.5,$S$40)))</f>
        <v>0</v>
      </c>
      <c r="AC23" s="79">
        <f>IF(OR(E23=0,F23="旧被扶養者"),0,INT(T23*$AC$15))*IF(F23="産前産後",(8/12),1)</f>
        <v>0</v>
      </c>
      <c r="AD23" s="26"/>
      <c r="AE23" s="27">
        <f>AG23*AH23</f>
        <v>0</v>
      </c>
      <c r="AF23" s="54" t="s">
        <v>23</v>
      </c>
      <c r="AG23" s="55">
        <f>IF(L23="A",$AE$15/2,IF(F21="産前産後",$AE$15*8/12,$AE$15))</f>
        <v>9000</v>
      </c>
      <c r="AH23" s="102">
        <f t="shared" si="2"/>
        <v>0</v>
      </c>
      <c r="AJ23" s="28">
        <f>IF(AO23=0,0,IF(L23="D",INT(T23*$AJ$15),0))*IF(F23="産前産後",(8/12),1)</f>
        <v>0</v>
      </c>
      <c r="AK23" s="26"/>
      <c r="AL23" s="28">
        <f>AN23*AO23</f>
        <v>0</v>
      </c>
      <c r="AM23" s="58" t="s">
        <v>47</v>
      </c>
      <c r="AN23" s="56">
        <f>IF(F23="産前産後",AL$15*8/12,AL$15)</f>
        <v>9600</v>
      </c>
      <c r="AO23" s="103">
        <f>IF(L23="D",$S$40,0)</f>
        <v>0</v>
      </c>
      <c r="AQ23" s="195">
        <f>INT(IF(OR(E23=0,F23="旧被扶養者"),0,T23*$AQ$15)*IF(F23="産前産後",(8/12),1))</f>
        <v>0</v>
      </c>
      <c r="AR23" s="26"/>
      <c r="AS23" s="195">
        <f>INT(AU23*AV23)</f>
        <v>0</v>
      </c>
      <c r="AT23" s="58" t="s">
        <v>23</v>
      </c>
      <c r="AU23" s="198">
        <f>IF(OR(L23="A",L23="B",L23="I"),0,IF(F23="産前産後",$AS$15*8/12,$AS$15))</f>
        <v>1181</v>
      </c>
      <c r="AV23" s="199">
        <f>IF(E23=0,0,IF(F23="旧被扶養者",0,$S$40))</f>
        <v>0</v>
      </c>
    </row>
    <row r="24" spans="2:48" ht="4.2" customHeight="1">
      <c r="B24" s="12"/>
      <c r="C24" s="18"/>
      <c r="D24" s="19"/>
      <c r="E24" s="96"/>
      <c r="F24" s="96"/>
      <c r="G24" s="12"/>
      <c r="H24" s="43"/>
      <c r="I24" s="44"/>
      <c r="J24" s="45"/>
      <c r="K24" s="12"/>
      <c r="L24" s="241"/>
      <c r="M24" s="84">
        <f>年金所得への変更用!O10</f>
        <v>0</v>
      </c>
      <c r="N24" s="38"/>
      <c r="O24" s="84">
        <f t="shared" si="1"/>
        <v>0</v>
      </c>
      <c r="P24" s="85">
        <f>年金所得への変更用!I10</f>
        <v>0</v>
      </c>
      <c r="Q24" s="84">
        <f>年金所得への変更用!K10</f>
        <v>0</v>
      </c>
      <c r="R24" s="38">
        <f t="shared" si="0"/>
        <v>0</v>
      </c>
      <c r="S24" s="86"/>
      <c r="T24" s="83">
        <f>MAX(0,O24+J24+P24-リスト!$C$8)</f>
        <v>0</v>
      </c>
      <c r="U24" s="92"/>
      <c r="V24" s="29"/>
      <c r="W24" s="26"/>
      <c r="X24" s="26"/>
      <c r="Y24" s="51"/>
      <c r="Z24" s="52"/>
      <c r="AA24" s="53"/>
      <c r="AC24" s="29"/>
      <c r="AD24" s="26"/>
      <c r="AE24" s="26"/>
      <c r="AF24" s="53"/>
      <c r="AG24" s="52"/>
      <c r="AH24" s="53"/>
      <c r="AJ24" s="26"/>
      <c r="AK24" s="26"/>
      <c r="AL24" s="26"/>
      <c r="AM24" s="57"/>
      <c r="AN24" s="57"/>
      <c r="AO24" s="57"/>
      <c r="AQ24" s="26"/>
      <c r="AR24" s="26"/>
      <c r="AS24" s="26"/>
      <c r="AT24" s="57"/>
      <c r="AU24" s="57"/>
      <c r="AV24" s="57"/>
    </row>
    <row r="25" spans="2:48">
      <c r="B25" s="12"/>
      <c r="C25" s="216" t="s">
        <v>1</v>
      </c>
      <c r="D25" s="217">
        <f t="shared" ref="D25" si="3">D23+1</f>
        <v>4</v>
      </c>
      <c r="E25" s="97"/>
      <c r="F25" s="97"/>
      <c r="G25" s="12"/>
      <c r="H25" s="40"/>
      <c r="I25" s="41"/>
      <c r="J25" s="42"/>
      <c r="K25" s="12"/>
      <c r="L25" s="241" t="str">
        <f>IF(E25=リスト!$I$11,"A",IF(E25=リスト!$J$11,"B",IF(E25=リスト!$K$11,"I",IF(E25=リスト!$L$11,"H",IF(E25=リスト!$M$11,"D",IF(E25=リスト!$N$11,"E",IF(E25=リスト!$O$11,"F","G")))))))</f>
        <v>G</v>
      </c>
      <c r="M25" s="82">
        <f>年金所得への変更用!O11</f>
        <v>0</v>
      </c>
      <c r="N25" s="81">
        <f>IF(F25="非自発的失業",0.3,1)</f>
        <v>1</v>
      </c>
      <c r="O25" s="82">
        <f t="shared" si="1"/>
        <v>0</v>
      </c>
      <c r="P25" s="82">
        <f>年金所得への変更用!I11</f>
        <v>0</v>
      </c>
      <c r="Q25" s="82">
        <f>年金所得への変更用!K11</f>
        <v>0</v>
      </c>
      <c r="R25" s="38">
        <f t="shared" si="0"/>
        <v>0</v>
      </c>
      <c r="S25" s="80">
        <f>O25+J25+Q25</f>
        <v>0</v>
      </c>
      <c r="T25" s="83">
        <f>MAX(0,O25+J25+P25-リスト!$C$8)</f>
        <v>0</v>
      </c>
      <c r="U25" s="114"/>
      <c r="V25" s="111">
        <f>IF(OR(E25=0,F25="旧被扶養者"),0,INT(T25*$V$15))*IF(F25="産前産後",(8/12),1)</f>
        <v>0</v>
      </c>
      <c r="W25" s="26"/>
      <c r="X25" s="25">
        <f>+Z25*AA25</f>
        <v>0</v>
      </c>
      <c r="Y25" s="49" t="s">
        <v>23</v>
      </c>
      <c r="Z25" s="50">
        <f>IF(L25="A",$X$15/2,IF(F25="産前産後",$X$15*8/12,$X$15))</f>
        <v>26600</v>
      </c>
      <c r="AA25" s="100">
        <f>IF(E25="",0,IF($G$10="７割軽減",0.3,IF(F25="旧被扶養者",0.5,$S$40)))</f>
        <v>0</v>
      </c>
      <c r="AC25" s="79">
        <f>IF(OR(E25=0,F25="旧被扶養者"),0,INT(T25*$AC$15))*IF(F25="産前産後",(8/12),1)</f>
        <v>0</v>
      </c>
      <c r="AD25" s="26"/>
      <c r="AE25" s="27">
        <f>AG25*AH25</f>
        <v>0</v>
      </c>
      <c r="AF25" s="54" t="s">
        <v>23</v>
      </c>
      <c r="AG25" s="55">
        <f>IF(L25="A",$AE$15/2,IF(F23="産前産後",$AE$15*8/12,$AE$15))</f>
        <v>9000</v>
      </c>
      <c r="AH25" s="102">
        <f t="shared" si="2"/>
        <v>0</v>
      </c>
      <c r="AJ25" s="28">
        <f>IF(AO25=0,0,IF(L25="D",INT(T25*$AJ$15),0))*IF(F25="産前産後",(8/12),1)</f>
        <v>0</v>
      </c>
      <c r="AK25" s="26"/>
      <c r="AL25" s="28">
        <f>AN25*AO25</f>
        <v>0</v>
      </c>
      <c r="AM25" s="58" t="s">
        <v>47</v>
      </c>
      <c r="AN25" s="56">
        <f>IF(F25="産前産後",AL$15*8/12,AL$15)</f>
        <v>9600</v>
      </c>
      <c r="AO25" s="103">
        <f>IF(L25="D",$S$40,0)</f>
        <v>0</v>
      </c>
      <c r="AQ25" s="195">
        <f>INT(IF(OR(E25=0,F25="旧被扶養者"),0,T25*$AQ$15)*IF(F25="産前産後",(8/12),1))</f>
        <v>0</v>
      </c>
      <c r="AR25" s="26"/>
      <c r="AS25" s="195">
        <f>INT(AU25*AV25)</f>
        <v>0</v>
      </c>
      <c r="AT25" s="58" t="s">
        <v>23</v>
      </c>
      <c r="AU25" s="198">
        <f>IF(OR(L25="A",L25="B",L25="I"),0,IF(F25="産前産後",$AS$15*8/12,$AS$15))</f>
        <v>1181</v>
      </c>
      <c r="AV25" s="199">
        <f>IF(E25=0,0,IF(F25="旧被扶養者",0,$S$40))</f>
        <v>0</v>
      </c>
    </row>
    <row r="26" spans="2:48" ht="4.2" customHeight="1">
      <c r="B26" s="12"/>
      <c r="C26" s="18"/>
      <c r="D26" s="19"/>
      <c r="E26" s="96"/>
      <c r="F26" s="96"/>
      <c r="G26" s="12"/>
      <c r="H26" s="43"/>
      <c r="I26" s="44"/>
      <c r="J26" s="45"/>
      <c r="K26" s="12"/>
      <c r="L26" s="241"/>
      <c r="M26" s="84">
        <f>年金所得への変更用!O12</f>
        <v>0</v>
      </c>
      <c r="N26" s="38"/>
      <c r="O26" s="84">
        <f t="shared" si="1"/>
        <v>0</v>
      </c>
      <c r="P26" s="85">
        <f>年金所得への変更用!I12</f>
        <v>0</v>
      </c>
      <c r="Q26" s="84">
        <f>年金所得への変更用!K12</f>
        <v>0</v>
      </c>
      <c r="R26" s="38">
        <f t="shared" si="0"/>
        <v>0</v>
      </c>
      <c r="S26" s="86"/>
      <c r="T26" s="83">
        <f>MAX(0,O26+J26+P26-リスト!$C$8)</f>
        <v>0</v>
      </c>
      <c r="U26" s="92"/>
      <c r="V26" s="29"/>
      <c r="W26" s="26"/>
      <c r="X26" s="26"/>
      <c r="Y26" s="51"/>
      <c r="Z26" s="52"/>
      <c r="AA26" s="53"/>
      <c r="AC26" s="29"/>
      <c r="AD26" s="26"/>
      <c r="AE26" s="26"/>
      <c r="AF26" s="53"/>
      <c r="AG26" s="52"/>
      <c r="AH26" s="53"/>
      <c r="AJ26" s="26"/>
      <c r="AK26" s="26"/>
      <c r="AL26" s="26"/>
      <c r="AM26" s="57"/>
      <c r="AN26" s="57"/>
      <c r="AO26" s="57"/>
      <c r="AQ26" s="26"/>
      <c r="AR26" s="26"/>
      <c r="AS26" s="26"/>
      <c r="AT26" s="57"/>
      <c r="AU26" s="57"/>
      <c r="AV26" s="57"/>
    </row>
    <row r="27" spans="2:48">
      <c r="B27" s="12"/>
      <c r="C27" s="216" t="s">
        <v>1</v>
      </c>
      <c r="D27" s="217">
        <f t="shared" ref="D27" si="4">D25+1</f>
        <v>5</v>
      </c>
      <c r="E27" s="97"/>
      <c r="F27" s="97"/>
      <c r="G27" s="12"/>
      <c r="H27" s="40"/>
      <c r="I27" s="41"/>
      <c r="J27" s="42"/>
      <c r="K27" s="12"/>
      <c r="L27" s="241" t="str">
        <f>IF(E27=リスト!$I$11,"A",IF(E27=リスト!$J$11,"B",IF(E27=リスト!$K$11,"I",IF(E27=リスト!$L$11,"H",IF(E27=リスト!$M$11,"D",IF(E27=リスト!$N$11,"E",IF(E27=リスト!$O$11,"F","G")))))))</f>
        <v>G</v>
      </c>
      <c r="M27" s="82">
        <f>年金所得への変更用!O13</f>
        <v>0</v>
      </c>
      <c r="N27" s="81">
        <f>IF(F27="非自発的失業",0.3,1)</f>
        <v>1</v>
      </c>
      <c r="O27" s="82">
        <f t="shared" si="1"/>
        <v>0</v>
      </c>
      <c r="P27" s="82">
        <f>年金所得への変更用!I13</f>
        <v>0</v>
      </c>
      <c r="Q27" s="82">
        <f>年金所得への変更用!K13</f>
        <v>0</v>
      </c>
      <c r="R27" s="38">
        <f t="shared" si="0"/>
        <v>0</v>
      </c>
      <c r="S27" s="80">
        <f>O27+J27+Q27</f>
        <v>0</v>
      </c>
      <c r="T27" s="83">
        <f>MAX(0,O27+J27+P27-リスト!$C$8)</f>
        <v>0</v>
      </c>
      <c r="U27" s="114"/>
      <c r="V27" s="111">
        <f>IF(OR(E27=0,F27="旧被扶養者"),0,INT(T27*$V$15))*IF(F27="産前産後",(8/12),1)</f>
        <v>0</v>
      </c>
      <c r="W27" s="26"/>
      <c r="X27" s="25">
        <f>+Z27*AA27</f>
        <v>0</v>
      </c>
      <c r="Y27" s="49" t="s">
        <v>23</v>
      </c>
      <c r="Z27" s="50">
        <f>IF(L27="A",$X$15/2,IF(F27="産前産後",$X$15*8/12,$X$15))</f>
        <v>26600</v>
      </c>
      <c r="AA27" s="100">
        <f>IF(E27="",0,IF($G$10="７割軽減",0.3,IF(F27="旧被扶養者",0.5,$S$40)))</f>
        <v>0</v>
      </c>
      <c r="AC27" s="79">
        <f>IF(OR(E27=0,F27="旧被扶養者"),0,INT(T27*$AC$15))*IF(F27="産前産後",(8/12),1)</f>
        <v>0</v>
      </c>
      <c r="AD27" s="26"/>
      <c r="AE27" s="27">
        <f>AG27*AH27</f>
        <v>0</v>
      </c>
      <c r="AF27" s="54" t="s">
        <v>23</v>
      </c>
      <c r="AG27" s="55">
        <f>IF(L27="A",$AE$15/2,IF(F25="産前産後",$AE$15*8/12,$AE$15))</f>
        <v>9000</v>
      </c>
      <c r="AH27" s="102">
        <f t="shared" si="2"/>
        <v>0</v>
      </c>
      <c r="AJ27" s="28">
        <f>IF(AO27=0,0,IF(L27="D",INT(T27*$AJ$15),0))*IF(F27="産前産後",(8/12),1)</f>
        <v>0</v>
      </c>
      <c r="AK27" s="26"/>
      <c r="AL27" s="28">
        <f>AN27*AO27</f>
        <v>0</v>
      </c>
      <c r="AM27" s="58" t="s">
        <v>47</v>
      </c>
      <c r="AN27" s="56">
        <f>IF(F27="産前産後",AL$15*8/12,AL$15)</f>
        <v>9600</v>
      </c>
      <c r="AO27" s="103">
        <f>IF(L27="D",$S$40,0)</f>
        <v>0</v>
      </c>
      <c r="AQ27" s="195">
        <f>INT(IF(OR(E27=0,F27="旧被扶養者"),0,T27*$AQ$15)*IF(F27="産前産後",(8/12),1))</f>
        <v>0</v>
      </c>
      <c r="AR27" s="26"/>
      <c r="AS27" s="195">
        <f>INT(AU27*AV27)</f>
        <v>0</v>
      </c>
      <c r="AT27" s="58" t="s">
        <v>23</v>
      </c>
      <c r="AU27" s="198">
        <f>IF(OR(L27="A",L27="B",L27="I"),0,IF(F27="産前産後",$AS$15*8/12,$AS$15))</f>
        <v>1181</v>
      </c>
      <c r="AV27" s="199">
        <f>IF(E27=0,0,IF(F27="旧被扶養者",0,$S$40))</f>
        <v>0</v>
      </c>
    </row>
    <row r="28" spans="2:48" ht="4.2" customHeight="1">
      <c r="B28" s="12"/>
      <c r="C28" s="18"/>
      <c r="D28" s="19"/>
      <c r="E28" s="96"/>
      <c r="F28" s="96"/>
      <c r="G28" s="12"/>
      <c r="H28" s="43"/>
      <c r="I28" s="44"/>
      <c r="J28" s="45"/>
      <c r="K28" s="12"/>
      <c r="L28" s="241"/>
      <c r="M28" s="84">
        <f>年金所得への変更用!O14</f>
        <v>0</v>
      </c>
      <c r="N28" s="38"/>
      <c r="O28" s="84">
        <f t="shared" si="1"/>
        <v>0</v>
      </c>
      <c r="P28" s="85">
        <f>年金所得への変更用!I14</f>
        <v>0</v>
      </c>
      <c r="Q28" s="84">
        <f>年金所得への変更用!K14</f>
        <v>0</v>
      </c>
      <c r="R28" s="38">
        <f t="shared" si="0"/>
        <v>0</v>
      </c>
      <c r="S28" s="86"/>
      <c r="T28" s="83">
        <f>MAX(0,O28+J28+P28-リスト!$C$8)</f>
        <v>0</v>
      </c>
      <c r="U28" s="92"/>
      <c r="V28" s="29"/>
      <c r="W28" s="26"/>
      <c r="X28" s="26"/>
      <c r="Y28" s="51"/>
      <c r="Z28" s="52"/>
      <c r="AA28" s="53"/>
      <c r="AC28" s="29"/>
      <c r="AD28" s="26"/>
      <c r="AE28" s="26"/>
      <c r="AF28" s="53"/>
      <c r="AG28" s="52"/>
      <c r="AH28" s="53"/>
      <c r="AJ28" s="26"/>
      <c r="AK28" s="26"/>
      <c r="AL28" s="26"/>
      <c r="AM28" s="57"/>
      <c r="AN28" s="57"/>
      <c r="AO28" s="57"/>
      <c r="AQ28" s="26"/>
      <c r="AR28" s="26"/>
      <c r="AS28" s="26"/>
      <c r="AT28" s="57"/>
      <c r="AU28" s="57"/>
      <c r="AV28" s="57"/>
    </row>
    <row r="29" spans="2:48">
      <c r="B29" s="12"/>
      <c r="C29" s="216" t="s">
        <v>1</v>
      </c>
      <c r="D29" s="217">
        <f t="shared" ref="D29" si="5">D27+1</f>
        <v>6</v>
      </c>
      <c r="E29" s="97"/>
      <c r="F29" s="97"/>
      <c r="G29" s="12"/>
      <c r="H29" s="40"/>
      <c r="I29" s="41"/>
      <c r="J29" s="42"/>
      <c r="K29" s="12"/>
      <c r="L29" s="241" t="str">
        <f>IF(E29=リスト!$I$11,"A",IF(E29=リスト!$J$11,"B",IF(E29=リスト!$K$11,"I",IF(E29=リスト!$L$11,"H",IF(E29=リスト!$M$11,"D",IF(E29=リスト!$N$11,"E",IF(E29=リスト!$O$11,"F","G")))))))</f>
        <v>G</v>
      </c>
      <c r="M29" s="82">
        <f>年金所得への変更用!O15</f>
        <v>0</v>
      </c>
      <c r="N29" s="81">
        <f>IF(F29="非自発的失業",0.3,1)</f>
        <v>1</v>
      </c>
      <c r="O29" s="82">
        <f t="shared" si="1"/>
        <v>0</v>
      </c>
      <c r="P29" s="82">
        <f>年金所得への変更用!I15</f>
        <v>0</v>
      </c>
      <c r="Q29" s="82">
        <f>年金所得への変更用!K15</f>
        <v>0</v>
      </c>
      <c r="R29" s="38">
        <f t="shared" si="0"/>
        <v>0</v>
      </c>
      <c r="S29" s="80">
        <f>O29+J29+Q29</f>
        <v>0</v>
      </c>
      <c r="T29" s="83">
        <f>MAX(0,O29+J29+P29-リスト!$C$8)</f>
        <v>0</v>
      </c>
      <c r="U29" s="114"/>
      <c r="V29" s="111">
        <f>IF(OR(E29=0,F29="旧被扶養者"),0,INT(T29*$V$15))*IF(F29="産前産後",(8/12),1)</f>
        <v>0</v>
      </c>
      <c r="W29" s="26"/>
      <c r="X29" s="25">
        <f>+Z29*AA29</f>
        <v>0</v>
      </c>
      <c r="Y29" s="49" t="s">
        <v>23</v>
      </c>
      <c r="Z29" s="50">
        <f>IF(L29="A",$X$15/2,IF(F29="産前産後",$X$15*8/12,$X$15))</f>
        <v>26600</v>
      </c>
      <c r="AA29" s="100">
        <f>IF(E29="",0,IF($G$10="７割軽減",0.3,IF(F29="旧被扶養者",0.5,$S$40)))</f>
        <v>0</v>
      </c>
      <c r="AC29" s="79">
        <f>IF(OR(E29=0,F29="旧被扶養者"),0,INT(T29*$AC$15))*IF(F29="産前産後",(8/12),1)</f>
        <v>0</v>
      </c>
      <c r="AD29" s="26"/>
      <c r="AE29" s="27">
        <f>AG29*AH29</f>
        <v>0</v>
      </c>
      <c r="AF29" s="54" t="s">
        <v>23</v>
      </c>
      <c r="AG29" s="55">
        <f>IF(L29="A",$AE$15/2,IF(F27="産前産後",$AE$15*8/12,$AE$15))</f>
        <v>9000</v>
      </c>
      <c r="AH29" s="102">
        <f t="shared" si="2"/>
        <v>0</v>
      </c>
      <c r="AJ29" s="28">
        <f>IF(AO29=0,0,IF(L29="D",INT(T29*$AJ$15),0))*IF(F29="産前産後",(8/12),1)</f>
        <v>0</v>
      </c>
      <c r="AK29" s="26"/>
      <c r="AL29" s="28">
        <f>AN29*AO29</f>
        <v>0</v>
      </c>
      <c r="AM29" s="58" t="s">
        <v>47</v>
      </c>
      <c r="AN29" s="56">
        <f>IF(F29="産前産後",AL$15*8/12,AL$15)</f>
        <v>9600</v>
      </c>
      <c r="AO29" s="103">
        <f>IF(L29="D",$S$40,0)</f>
        <v>0</v>
      </c>
      <c r="AQ29" s="195">
        <f>INT(IF(OR(E29=0,F29="旧被扶養者"),0,T29*$AQ$15)*IF(F29="産前産後",(8/12),1))</f>
        <v>0</v>
      </c>
      <c r="AR29" s="26"/>
      <c r="AS29" s="195">
        <f>INT(AU29*AV29)</f>
        <v>0</v>
      </c>
      <c r="AT29" s="58" t="s">
        <v>23</v>
      </c>
      <c r="AU29" s="198">
        <f>IF(OR(L29="A",L29="B",L29="I"),0,IF(F29="産前産後",$AS$15*8/12,$AS$15))</f>
        <v>1181</v>
      </c>
      <c r="AV29" s="199">
        <f>IF(E29=0,0,IF(F29="旧被扶養者",0,$S$40))</f>
        <v>0</v>
      </c>
    </row>
    <row r="30" spans="2:48" ht="4.2" customHeight="1">
      <c r="B30" s="12"/>
      <c r="C30" s="18"/>
      <c r="D30" s="19"/>
      <c r="E30" s="96"/>
      <c r="F30" s="96"/>
      <c r="G30" s="12"/>
      <c r="H30" s="43"/>
      <c r="I30" s="44"/>
      <c r="J30" s="45"/>
      <c r="K30" s="12"/>
      <c r="L30" s="241"/>
      <c r="M30" s="84">
        <f>年金所得への変更用!O16</f>
        <v>0</v>
      </c>
      <c r="N30" s="38"/>
      <c r="O30" s="84">
        <f t="shared" si="1"/>
        <v>0</v>
      </c>
      <c r="P30" s="85">
        <f>年金所得への変更用!I16</f>
        <v>0</v>
      </c>
      <c r="Q30" s="84">
        <f>年金所得への変更用!K16</f>
        <v>0</v>
      </c>
      <c r="R30" s="38">
        <f t="shared" si="0"/>
        <v>0</v>
      </c>
      <c r="S30" s="86"/>
      <c r="T30" s="83">
        <f>MAX(0,O30+J30+P30-リスト!$C$8)</f>
        <v>0</v>
      </c>
      <c r="U30" s="92"/>
      <c r="V30" s="29"/>
      <c r="W30" s="26"/>
      <c r="X30" s="26"/>
      <c r="Y30" s="51"/>
      <c r="Z30" s="52"/>
      <c r="AA30" s="53"/>
      <c r="AC30" s="29"/>
      <c r="AD30" s="26"/>
      <c r="AE30" s="26"/>
      <c r="AF30" s="53"/>
      <c r="AG30" s="52"/>
      <c r="AH30" s="53"/>
      <c r="AJ30" s="26"/>
      <c r="AK30" s="26"/>
      <c r="AL30" s="26"/>
      <c r="AM30" s="57"/>
      <c r="AN30" s="57"/>
      <c r="AO30" s="57"/>
      <c r="AQ30" s="26"/>
      <c r="AR30" s="26"/>
      <c r="AS30" s="26"/>
      <c r="AT30" s="57"/>
      <c r="AU30" s="57"/>
      <c r="AV30" s="57"/>
    </row>
    <row r="31" spans="2:48">
      <c r="B31" s="12"/>
      <c r="C31" s="216" t="s">
        <v>1</v>
      </c>
      <c r="D31" s="217">
        <f t="shared" ref="D31" si="6">D29+1</f>
        <v>7</v>
      </c>
      <c r="E31" s="97"/>
      <c r="F31" s="97"/>
      <c r="G31" s="12"/>
      <c r="H31" s="40"/>
      <c r="I31" s="41"/>
      <c r="J31" s="42"/>
      <c r="K31" s="12"/>
      <c r="L31" s="241" t="str">
        <f>IF(E31=リスト!$I$11,"A",IF(E31=リスト!$J$11,"B",IF(E31=リスト!$K$11,"I",IF(E31=リスト!$L$11,"H",IF(E31=リスト!$M$11,"D",IF(E31=リスト!$N$11,"E",IF(E31=リスト!$O$11,"F","G")))))))</f>
        <v>G</v>
      </c>
      <c r="M31" s="82">
        <f>年金所得への変更用!O17</f>
        <v>0</v>
      </c>
      <c r="N31" s="81">
        <f>IF(F31="非自発的失業",0.3,1)</f>
        <v>1</v>
      </c>
      <c r="O31" s="82">
        <f t="shared" si="1"/>
        <v>0</v>
      </c>
      <c r="P31" s="82">
        <f>年金所得への変更用!I17</f>
        <v>0</v>
      </c>
      <c r="Q31" s="82">
        <f>年金所得への変更用!K17</f>
        <v>0</v>
      </c>
      <c r="R31" s="38">
        <f t="shared" si="0"/>
        <v>0</v>
      </c>
      <c r="S31" s="80">
        <f>O31+J31+Q31</f>
        <v>0</v>
      </c>
      <c r="T31" s="83">
        <f>MAX(0,O31+J31+P31-リスト!$C$8)</f>
        <v>0</v>
      </c>
      <c r="U31" s="114"/>
      <c r="V31" s="111">
        <f>IF(OR(E31=0,F31="旧被扶養者"),0,INT(T31*$V$15))*IF(F31="産前産後",(8/12),1)</f>
        <v>0</v>
      </c>
      <c r="W31" s="26"/>
      <c r="X31" s="25">
        <f>+Z31*AA31</f>
        <v>0</v>
      </c>
      <c r="Y31" s="49" t="s">
        <v>23</v>
      </c>
      <c r="Z31" s="50">
        <f>IF(L31="A",$X$15/2,IF(F31="産前産後",$X$15*8/12,$X$15))</f>
        <v>26600</v>
      </c>
      <c r="AA31" s="100">
        <f>IF(E31="",0,IF($G$10="７割軽減",0.3,IF(F31="旧被扶養者",0.5,$S$40)))</f>
        <v>0</v>
      </c>
      <c r="AC31" s="79">
        <f>IF(OR(E31=0,F31="旧被扶養者"),0,INT(T31*$AC$15))*IF(F31="産前産後",(8/12),1)</f>
        <v>0</v>
      </c>
      <c r="AD31" s="26"/>
      <c r="AE31" s="27">
        <f>AG31*AH31</f>
        <v>0</v>
      </c>
      <c r="AF31" s="54" t="s">
        <v>23</v>
      </c>
      <c r="AG31" s="55">
        <f>IF(L31="A",$AE$15/2,IF(F29="産前産後",$AE$15*8/12,$AE$15))</f>
        <v>9000</v>
      </c>
      <c r="AH31" s="102">
        <f t="shared" si="2"/>
        <v>0</v>
      </c>
      <c r="AJ31" s="28">
        <f>IF(AO31=0,0,IF(L31="D",INT(T31*$AJ$15),0))*IF(F31="産前産後",(8/12),1)</f>
        <v>0</v>
      </c>
      <c r="AK31" s="26"/>
      <c r="AL31" s="28">
        <f>AN31*AO31</f>
        <v>0</v>
      </c>
      <c r="AM31" s="58" t="s">
        <v>47</v>
      </c>
      <c r="AN31" s="56">
        <f>IF(F31="産前産後",AL$15*8/12,AL$15)</f>
        <v>9600</v>
      </c>
      <c r="AO31" s="103">
        <f>IF(L31="D",$S$40,0)</f>
        <v>0</v>
      </c>
      <c r="AQ31" s="195">
        <f>INT(IF(OR(E31=0,F31="旧被扶養者"),0,T31*$AQ$15)*IF(F31="産前産後",(8/12),1))</f>
        <v>0</v>
      </c>
      <c r="AR31" s="26"/>
      <c r="AS31" s="195">
        <f>INT(AU31*AV31)</f>
        <v>0</v>
      </c>
      <c r="AT31" s="58" t="s">
        <v>23</v>
      </c>
      <c r="AU31" s="198">
        <f>IF(OR(L31="A",L31="B",L31="I"),0,IF(F31="産前産後",$AS$15*8/12,$AS$15))</f>
        <v>1181</v>
      </c>
      <c r="AV31" s="199">
        <f>IF(E31=0,0,IF(F31="旧被扶養者",0,$S$40))</f>
        <v>0</v>
      </c>
    </row>
    <row r="32" spans="2:48" ht="4.2" customHeight="1">
      <c r="B32" s="12"/>
      <c r="C32" s="18"/>
      <c r="D32" s="19"/>
      <c r="E32" s="96"/>
      <c r="F32" s="96"/>
      <c r="G32" s="12"/>
      <c r="H32" s="43"/>
      <c r="I32" s="44"/>
      <c r="J32" s="45"/>
      <c r="K32" s="12"/>
      <c r="L32" s="241"/>
      <c r="M32" s="84">
        <f>年金所得への変更用!O18</f>
        <v>0</v>
      </c>
      <c r="N32" s="38"/>
      <c r="O32" s="84">
        <f t="shared" si="1"/>
        <v>0</v>
      </c>
      <c r="P32" s="85">
        <f>年金所得への変更用!I18</f>
        <v>0</v>
      </c>
      <c r="Q32" s="84">
        <f>年金所得への変更用!K18</f>
        <v>0</v>
      </c>
      <c r="R32" s="38">
        <f t="shared" si="0"/>
        <v>0</v>
      </c>
      <c r="S32" s="86"/>
      <c r="T32" s="83">
        <f>MAX(0,O32+J32+P32-リスト!$C$8)</f>
        <v>0</v>
      </c>
      <c r="U32" s="92"/>
      <c r="V32" s="29"/>
      <c r="W32" s="26"/>
      <c r="X32" s="26"/>
      <c r="Y32" s="51"/>
      <c r="Z32" s="52"/>
      <c r="AA32" s="53"/>
      <c r="AC32" s="29"/>
      <c r="AD32" s="26"/>
      <c r="AE32" s="26"/>
      <c r="AF32" s="53"/>
      <c r="AG32" s="52"/>
      <c r="AH32" s="53"/>
      <c r="AJ32" s="26"/>
      <c r="AK32" s="26"/>
      <c r="AL32" s="26"/>
      <c r="AM32" s="57"/>
      <c r="AN32" s="57"/>
      <c r="AO32" s="57"/>
      <c r="AQ32" s="26"/>
      <c r="AR32" s="26"/>
      <c r="AS32" s="26"/>
      <c r="AT32" s="57"/>
      <c r="AU32" s="57"/>
      <c r="AV32" s="57"/>
    </row>
    <row r="33" spans="2:48">
      <c r="B33" s="12"/>
      <c r="C33" s="216" t="s">
        <v>1</v>
      </c>
      <c r="D33" s="217">
        <f t="shared" ref="D33" si="7">D31+1</f>
        <v>8</v>
      </c>
      <c r="E33" s="97"/>
      <c r="F33" s="97"/>
      <c r="G33" s="12"/>
      <c r="H33" s="40"/>
      <c r="I33" s="41"/>
      <c r="J33" s="42"/>
      <c r="K33" s="12"/>
      <c r="L33" s="241" t="str">
        <f>IF(E33=リスト!$I$11,"A",IF(E33=リスト!$J$11,"B",IF(E33=リスト!$K$11,"I",IF(E33=リスト!$L$11,"H",IF(E33=リスト!$M$11,"D",IF(E33=リスト!$N$11,"E",IF(E33=リスト!$O$11,"F","G")))))))</f>
        <v>G</v>
      </c>
      <c r="M33" s="82">
        <f>年金所得への変更用!O19</f>
        <v>0</v>
      </c>
      <c r="N33" s="81">
        <f>IF(F33="非自発的失業",0.3,1)</f>
        <v>1</v>
      </c>
      <c r="O33" s="82">
        <f t="shared" si="1"/>
        <v>0</v>
      </c>
      <c r="P33" s="82">
        <f>年金所得への変更用!I19</f>
        <v>0</v>
      </c>
      <c r="Q33" s="82">
        <f>年金所得への変更用!K19</f>
        <v>0</v>
      </c>
      <c r="R33" s="38">
        <f t="shared" si="0"/>
        <v>0</v>
      </c>
      <c r="S33" s="80">
        <f>O33+J33+Q33</f>
        <v>0</v>
      </c>
      <c r="T33" s="83">
        <f>MAX(0,O33+J33+P33-リスト!$C$8)</f>
        <v>0</v>
      </c>
      <c r="U33" s="114"/>
      <c r="V33" s="111">
        <f>IF(OR(E33=0,F33="旧被扶養者"),0,INT(T33*$V$15))*IF(F33="産前産後",(8/12),1)</f>
        <v>0</v>
      </c>
      <c r="W33" s="26"/>
      <c r="X33" s="25">
        <f>+Z33*AA33</f>
        <v>0</v>
      </c>
      <c r="Y33" s="49" t="s">
        <v>23</v>
      </c>
      <c r="Z33" s="50">
        <f>IF(L33="A",$X$15/2,IF(F33="産前産後",$X$15*8/12,$X$15))</f>
        <v>26600</v>
      </c>
      <c r="AA33" s="100">
        <f>IF(E33="",0,IF($G$10="７割軽減",0.3,IF(F33="旧被扶養者",0.5,$S$40)))</f>
        <v>0</v>
      </c>
      <c r="AC33" s="79">
        <f>IF(OR(E33=0,F33="旧被扶養者"),0,INT(T33*$AC$15))*IF(F33="産前産後",(8/12),1)</f>
        <v>0</v>
      </c>
      <c r="AD33" s="26"/>
      <c r="AE33" s="27">
        <f>AG33*AH33</f>
        <v>0</v>
      </c>
      <c r="AF33" s="54" t="s">
        <v>23</v>
      </c>
      <c r="AG33" s="55">
        <f>IF(L33="A",$AE$15/2,IF(F31="産前産後",$AE$15*8/12,$AE$15))</f>
        <v>9000</v>
      </c>
      <c r="AH33" s="102">
        <f t="shared" si="2"/>
        <v>0</v>
      </c>
      <c r="AJ33" s="28">
        <f>IF(AO33=0,0,IF(L33="D",INT(T33*$AJ$15),0))*IF(F33="産前産後",(8/12),1)</f>
        <v>0</v>
      </c>
      <c r="AK33" s="26"/>
      <c r="AL33" s="28">
        <f>AN33*AO33</f>
        <v>0</v>
      </c>
      <c r="AM33" s="58" t="s">
        <v>47</v>
      </c>
      <c r="AN33" s="56">
        <f>IF(F33="産前産後",AL$15*8/12,AL$15)</f>
        <v>9600</v>
      </c>
      <c r="AO33" s="103">
        <f>IF(L33="D",$S$40,0)</f>
        <v>0</v>
      </c>
      <c r="AQ33" s="195">
        <f>INT(IF(OR(E33=0,F33="旧被扶養者"),0,T33*$AQ$15)*IF(F33="産前産後",(8/12),1))</f>
        <v>0</v>
      </c>
      <c r="AR33" s="26"/>
      <c r="AS33" s="195">
        <f>INT(AU33*AV33)</f>
        <v>0</v>
      </c>
      <c r="AT33" s="58" t="s">
        <v>23</v>
      </c>
      <c r="AU33" s="198">
        <f>IF(OR(L33="A",L33="B",L33="I"),0,IF(F33="産前産後",$AS$15*8/12,$AS$15))</f>
        <v>1181</v>
      </c>
      <c r="AV33" s="199">
        <f>IF(E33=0,0,IF(F33="旧被扶養者",0,$S$40))</f>
        <v>0</v>
      </c>
    </row>
    <row r="34" spans="2:48" ht="4.2" customHeight="1">
      <c r="B34" s="12"/>
      <c r="C34" s="18"/>
      <c r="D34" s="19"/>
      <c r="E34" s="96"/>
      <c r="F34" s="96"/>
      <c r="G34" s="12"/>
      <c r="H34" s="43"/>
      <c r="I34" s="44"/>
      <c r="J34" s="45"/>
      <c r="K34" s="12"/>
      <c r="L34" s="241"/>
      <c r="M34" s="84">
        <f>年金所得への変更用!O20</f>
        <v>0</v>
      </c>
      <c r="N34" s="38"/>
      <c r="O34" s="84">
        <f t="shared" si="1"/>
        <v>0</v>
      </c>
      <c r="P34" s="85">
        <f>年金所得への変更用!I20</f>
        <v>0</v>
      </c>
      <c r="Q34" s="84">
        <f>年金所得への変更用!K20</f>
        <v>0</v>
      </c>
      <c r="R34" s="38">
        <f t="shared" si="0"/>
        <v>0</v>
      </c>
      <c r="S34" s="86"/>
      <c r="T34" s="83">
        <f>MAX(0,O34+J34+P34-リスト!$C$8)</f>
        <v>0</v>
      </c>
      <c r="U34" s="92"/>
      <c r="V34" s="29"/>
      <c r="W34" s="26"/>
      <c r="X34" s="26"/>
      <c r="Y34" s="51"/>
      <c r="Z34" s="52"/>
      <c r="AA34" s="53"/>
      <c r="AC34" s="29"/>
      <c r="AD34" s="26"/>
      <c r="AE34" s="26"/>
      <c r="AF34" s="53"/>
      <c r="AG34" s="52"/>
      <c r="AH34" s="53"/>
      <c r="AJ34" s="26"/>
      <c r="AK34" s="26"/>
      <c r="AL34" s="26"/>
      <c r="AM34" s="57"/>
      <c r="AN34" s="57"/>
      <c r="AO34" s="57"/>
      <c r="AQ34" s="26"/>
      <c r="AR34" s="26"/>
      <c r="AS34" s="26"/>
      <c r="AT34" s="57"/>
      <c r="AU34" s="57"/>
      <c r="AV34" s="57"/>
    </row>
    <row r="35" spans="2:48">
      <c r="B35" s="12"/>
      <c r="C35" s="216" t="s">
        <v>1</v>
      </c>
      <c r="D35" s="217">
        <f t="shared" ref="D35" si="8">D33+1</f>
        <v>9</v>
      </c>
      <c r="E35" s="97"/>
      <c r="F35" s="97"/>
      <c r="G35" s="12"/>
      <c r="H35" s="40"/>
      <c r="I35" s="41"/>
      <c r="J35" s="42"/>
      <c r="K35" s="12"/>
      <c r="L35" s="241" t="str">
        <f>IF(E35=リスト!$I$11,"A",IF(E35=リスト!$J$11,"B",IF(E35=リスト!$K$11,"I",IF(E35=リスト!$L$11,"H",IF(E35=リスト!$M$11,"D",IF(E35=リスト!$N$11,"E",IF(E35=リスト!$O$11,"F","G")))))))</f>
        <v>G</v>
      </c>
      <c r="M35" s="82">
        <f>年金所得への変更用!O21</f>
        <v>0</v>
      </c>
      <c r="N35" s="81">
        <f>IF(F35="非自発的失業",0.3,1)</f>
        <v>1</v>
      </c>
      <c r="O35" s="82">
        <f t="shared" si="1"/>
        <v>0</v>
      </c>
      <c r="P35" s="82">
        <f>年金所得への変更用!I21</f>
        <v>0</v>
      </c>
      <c r="Q35" s="82">
        <f>年金所得への変更用!K21</f>
        <v>0</v>
      </c>
      <c r="R35" s="38">
        <f t="shared" si="0"/>
        <v>0</v>
      </c>
      <c r="S35" s="80">
        <f>O35+J35+Q35</f>
        <v>0</v>
      </c>
      <c r="T35" s="83">
        <f>MAX(0,O35+J35+P35-リスト!$C$8)</f>
        <v>0</v>
      </c>
      <c r="U35" s="114"/>
      <c r="V35" s="111">
        <f>IF(OR(E35=0,F35="旧被扶養者"),0,INT(T35*$V$15))*IF(F35="産前産後",(8/12),1)</f>
        <v>0</v>
      </c>
      <c r="W35" s="26"/>
      <c r="X35" s="25">
        <f>+Z35*AA35</f>
        <v>0</v>
      </c>
      <c r="Y35" s="49" t="s">
        <v>23</v>
      </c>
      <c r="Z35" s="50">
        <f>IF(L35="A",$X$15/2,IF(F35="産前産後",$X$15*8/12,$X$15))</f>
        <v>26600</v>
      </c>
      <c r="AA35" s="100">
        <f>IF(E35="",0,IF($G$10="７割軽減",0.3,IF(F35="旧被扶養者",0.5,$S$40)))</f>
        <v>0</v>
      </c>
      <c r="AC35" s="79">
        <f>IF(OR(E35=0,F35="旧被扶養者"),0,INT(T35*$AC$15))*IF(F35="産前産後",(8/12),1)</f>
        <v>0</v>
      </c>
      <c r="AD35" s="26"/>
      <c r="AE35" s="27">
        <f>AG35*AH35</f>
        <v>0</v>
      </c>
      <c r="AF35" s="54" t="s">
        <v>23</v>
      </c>
      <c r="AG35" s="55">
        <f>IF(L35="A",$AE$15/2,IF(F33="産前産後",$AE$15*8/12,$AE$15))</f>
        <v>9000</v>
      </c>
      <c r="AH35" s="102">
        <f t="shared" si="2"/>
        <v>0</v>
      </c>
      <c r="AJ35" s="28">
        <f>IF(AO35=0,0,IF(L35="D",INT(T35*$AJ$15),0))*IF(F35="産前産後",(8/12),1)</f>
        <v>0</v>
      </c>
      <c r="AK35" s="26"/>
      <c r="AL35" s="28">
        <f>AN35*AO35</f>
        <v>0</v>
      </c>
      <c r="AM35" s="58" t="s">
        <v>47</v>
      </c>
      <c r="AN35" s="56">
        <f>IF(F35="産前産後",AL$15*8/12,AL$15)</f>
        <v>9600</v>
      </c>
      <c r="AO35" s="103">
        <f>IF(L35="D",$S$40,0)</f>
        <v>0</v>
      </c>
      <c r="AQ35" s="195">
        <f>INT(IF(OR(E35=0,F35="旧被扶養者"),0,T35*$AQ$15)*IF(F35="産前産後",(8/12),1))</f>
        <v>0</v>
      </c>
      <c r="AR35" s="26"/>
      <c r="AS35" s="195">
        <f>INT(AU35*AV35)</f>
        <v>0</v>
      </c>
      <c r="AT35" s="58" t="s">
        <v>23</v>
      </c>
      <c r="AU35" s="198">
        <f>IF(OR(L35="A",L35="B",L35="I"),0,IF(F35="産前産後",$AS$15*8/12,$AS$15))</f>
        <v>1181</v>
      </c>
      <c r="AV35" s="199">
        <f>IF(E35=0,0,IF(F35="旧被扶養者",0,$S$40))</f>
        <v>0</v>
      </c>
    </row>
    <row r="36" spans="2:48" ht="4.2" customHeight="1" thickBot="1">
      <c r="B36" s="12"/>
      <c r="C36" s="13"/>
      <c r="D36" s="13"/>
      <c r="E36" s="12"/>
      <c r="F36" s="12"/>
      <c r="G36" s="12"/>
      <c r="H36" s="34"/>
      <c r="I36" s="34"/>
      <c r="J36" s="34"/>
      <c r="K36" s="12"/>
      <c r="L36" s="12"/>
      <c r="M36" s="12"/>
      <c r="N36" s="12"/>
      <c r="O36" s="12"/>
      <c r="P36" s="48"/>
      <c r="Q36" s="12"/>
      <c r="R36" s="12">
        <f t="shared" si="0"/>
        <v>0</v>
      </c>
      <c r="S36" s="16"/>
      <c r="T36" s="12"/>
      <c r="V36" s="24"/>
      <c r="X36" s="24"/>
      <c r="Y36" s="4"/>
      <c r="AC36" s="24"/>
      <c r="AJ36" s="24"/>
      <c r="AQ36" s="24"/>
    </row>
    <row r="37" spans="2:48" ht="33" customHeight="1">
      <c r="B37" s="12"/>
      <c r="C37" s="12"/>
      <c r="D37" s="12"/>
      <c r="E37" s="12"/>
      <c r="F37" s="13" t="s">
        <v>115</v>
      </c>
      <c r="G37" s="12"/>
      <c r="H37" s="12"/>
      <c r="I37" s="12"/>
      <c r="J37" s="12"/>
      <c r="K37" s="12"/>
      <c r="L37" s="12"/>
      <c r="M37" s="12"/>
      <c r="N37" s="12"/>
      <c r="O37" s="12"/>
      <c r="P37" s="12"/>
      <c r="Q37" s="12"/>
      <c r="R37" s="242">
        <f>SUM($R$17:$R$35)</f>
        <v>0</v>
      </c>
      <c r="S37" s="16"/>
      <c r="T37" s="12"/>
      <c r="U37" s="116"/>
      <c r="V37" s="14" t="s">
        <v>21</v>
      </c>
      <c r="W37" s="118"/>
      <c r="X37" s="223" t="s">
        <v>22</v>
      </c>
      <c r="Y37" s="11"/>
      <c r="Z37" s="63" t="s">
        <v>12</v>
      </c>
      <c r="AA37" s="64"/>
      <c r="AB37" s="11"/>
      <c r="AC37" s="10" t="s">
        <v>21</v>
      </c>
      <c r="AD37" s="119"/>
      <c r="AE37" s="224" t="s">
        <v>22</v>
      </c>
      <c r="AF37" s="11"/>
      <c r="AG37" s="63" t="s">
        <v>12</v>
      </c>
      <c r="AH37" s="64"/>
      <c r="AJ37" s="10" t="s">
        <v>21</v>
      </c>
      <c r="AK37" s="119"/>
      <c r="AL37" s="225" t="s">
        <v>22</v>
      </c>
      <c r="AM37" s="11"/>
      <c r="AN37" s="63" t="s">
        <v>12</v>
      </c>
      <c r="AO37" s="64"/>
      <c r="AQ37" s="10" t="s">
        <v>21</v>
      </c>
      <c r="AR37" s="119"/>
      <c r="AS37" s="225" t="s">
        <v>22</v>
      </c>
      <c r="AT37" s="11"/>
      <c r="AU37" s="63" t="s">
        <v>12</v>
      </c>
      <c r="AV37" s="64"/>
    </row>
    <row r="38" spans="2:48">
      <c r="B38" s="12"/>
      <c r="C38" s="12"/>
      <c r="D38" s="12"/>
      <c r="E38" s="12"/>
      <c r="F38" s="13" t="s">
        <v>91</v>
      </c>
      <c r="G38" s="12"/>
      <c r="H38" s="12"/>
      <c r="I38" s="12"/>
      <c r="J38" s="12"/>
      <c r="K38" s="12"/>
      <c r="L38" s="12"/>
      <c r="M38" s="12"/>
      <c r="N38" s="12"/>
      <c r="O38" s="12"/>
      <c r="P38" s="12"/>
      <c r="Q38" s="12"/>
      <c r="R38" s="76" t="s">
        <v>70</v>
      </c>
      <c r="S38" s="87">
        <f>SUM(S17:S35)</f>
        <v>0</v>
      </c>
      <c r="T38" s="12"/>
      <c r="U38" s="116"/>
      <c r="V38" s="61">
        <f>SUM(V17:V35)</f>
        <v>0</v>
      </c>
      <c r="X38" s="62">
        <f>+X17+X19+X21+X23+X25+X27+X29+X31+X33+X35</f>
        <v>0</v>
      </c>
      <c r="Y38" s="8"/>
      <c r="Z38" s="65">
        <f>+Z40*AA40</f>
        <v>7500</v>
      </c>
      <c r="AA38" s="66"/>
      <c r="AC38" s="89">
        <f>SUM(AC17:AC35)</f>
        <v>0</v>
      </c>
      <c r="AE38" s="89">
        <f>SUM(AE17:AE35)</f>
        <v>0</v>
      </c>
      <c r="AG38" s="90">
        <f>AG40*AH40</f>
        <v>2400</v>
      </c>
      <c r="AH38" s="66"/>
      <c r="AJ38" s="89">
        <f>SUM(AJ17:AJ35)</f>
        <v>0</v>
      </c>
      <c r="AL38" s="89">
        <f>SUM(AL17:AL35)</f>
        <v>0</v>
      </c>
      <c r="AN38" s="90">
        <f>AN40*AO40</f>
        <v>1860</v>
      </c>
      <c r="AO38" s="66"/>
      <c r="AQ38" s="89">
        <f>SUM(AQ17:AQ35)</f>
        <v>0</v>
      </c>
      <c r="AS38" s="89">
        <f>SUM(AS17:AS35)</f>
        <v>0</v>
      </c>
      <c r="AU38" s="90">
        <f>AU40*AV40</f>
        <v>221.4</v>
      </c>
      <c r="AV38" s="66"/>
    </row>
    <row r="39" spans="2:48" ht="1.2" customHeight="1">
      <c r="B39" s="12"/>
      <c r="C39" s="12"/>
      <c r="D39" s="12"/>
      <c r="E39" s="12"/>
      <c r="F39" s="12"/>
      <c r="G39" s="12"/>
      <c r="H39" s="12"/>
      <c r="I39" s="12"/>
      <c r="J39" s="12"/>
      <c r="K39" s="12"/>
      <c r="L39" s="12"/>
      <c r="M39" s="12"/>
      <c r="N39" s="12"/>
      <c r="O39" s="12"/>
      <c r="P39" s="12"/>
      <c r="Q39" s="12"/>
      <c r="R39" s="12"/>
      <c r="S39" s="16"/>
      <c r="T39" s="12"/>
      <c r="Z39" s="67"/>
    </row>
    <row r="40" spans="2:48" ht="18" customHeight="1">
      <c r="B40" s="12"/>
      <c r="C40" s="12"/>
      <c r="D40" s="12"/>
      <c r="E40" s="12"/>
      <c r="F40" s="12"/>
      <c r="G40" s="12"/>
      <c r="H40" s="13" t="s">
        <v>92</v>
      </c>
      <c r="I40" s="12"/>
      <c r="J40" s="12"/>
      <c r="K40" s="12"/>
      <c r="L40" s="237" t="s">
        <v>119</v>
      </c>
      <c r="M40" s="12"/>
      <c r="N40" s="12"/>
      <c r="O40" s="76" t="s">
        <v>74</v>
      </c>
      <c r="P40" s="88">
        <f>COUNTA($E$17:$E$35)</f>
        <v>0</v>
      </c>
      <c r="Q40" s="12"/>
      <c r="R40" s="76" t="s">
        <v>71</v>
      </c>
      <c r="S40" s="77">
        <f>VLOOKUP($G$10,$S$42:$T$45,2,0)</f>
        <v>0.3</v>
      </c>
      <c r="T40" s="12" t="s">
        <v>75</v>
      </c>
      <c r="X40" s="4"/>
      <c r="Y40" s="4"/>
      <c r="Z40" s="123">
        <f>リスト!C5</f>
        <v>25000</v>
      </c>
      <c r="AA40" s="101">
        <f>$S$40</f>
        <v>0.3</v>
      </c>
      <c r="AG40" s="124">
        <f>リスト!D5</f>
        <v>8000</v>
      </c>
      <c r="AH40" s="201">
        <f>$S$40</f>
        <v>0.3</v>
      </c>
      <c r="AJ40" s="158">
        <f>COUNTIF(L17:L36,"D")</f>
        <v>0</v>
      </c>
      <c r="AN40" s="126">
        <f>リスト!E5</f>
        <v>6200</v>
      </c>
      <c r="AO40" s="202">
        <f>$S$40</f>
        <v>0.3</v>
      </c>
      <c r="AQ40" s="158">
        <f>COUNTIF(S17:S36,"D")</f>
        <v>0</v>
      </c>
      <c r="AU40" s="200">
        <f>リスト!F5</f>
        <v>738</v>
      </c>
      <c r="AV40" s="203">
        <f>$S$40</f>
        <v>0.3</v>
      </c>
    </row>
    <row r="41" spans="2:48" ht="2.4" customHeight="1" thickBot="1">
      <c r="B41" s="12"/>
      <c r="C41" s="12"/>
      <c r="D41" s="12"/>
      <c r="E41" s="12"/>
      <c r="F41" s="12"/>
      <c r="G41" s="12"/>
      <c r="H41" s="143"/>
      <c r="I41" s="12"/>
      <c r="J41" s="12"/>
      <c r="K41" s="12"/>
      <c r="L41" s="12"/>
      <c r="M41" s="12"/>
      <c r="N41" s="12"/>
      <c r="O41" s="12"/>
      <c r="P41" s="12"/>
      <c r="Q41" s="12"/>
      <c r="R41" s="12"/>
      <c r="S41" s="16"/>
      <c r="T41" s="12"/>
      <c r="X41" s="4"/>
      <c r="Y41" s="4"/>
      <c r="Z41" s="60"/>
      <c r="AG41" s="60"/>
      <c r="AN41" s="60"/>
      <c r="AU41" s="60"/>
    </row>
    <row r="42" spans="2:48" ht="27.6" customHeight="1">
      <c r="B42" s="12"/>
      <c r="C42" s="12"/>
      <c r="D42" s="12"/>
      <c r="E42" s="12"/>
      <c r="F42" s="12"/>
      <c r="G42" s="13" t="s">
        <v>87</v>
      </c>
      <c r="H42" s="12"/>
      <c r="I42" s="12"/>
      <c r="J42" s="12"/>
      <c r="K42" s="12"/>
      <c r="L42" s="238">
        <f>リスト!L3</f>
        <v>100000</v>
      </c>
      <c r="M42" s="238">
        <f>リスト!J3</f>
        <v>430000</v>
      </c>
      <c r="N42" s="239"/>
      <c r="O42" s="232" t="s">
        <v>48</v>
      </c>
      <c r="P42" s="233"/>
      <c r="Q42" s="234">
        <f>IF(R37&lt;2,M42,M42+(L42*(R37-1)))</f>
        <v>430000</v>
      </c>
      <c r="R42" s="77">
        <v>0</v>
      </c>
      <c r="S42" s="77" t="s">
        <v>51</v>
      </c>
      <c r="T42" s="88">
        <v>0.3</v>
      </c>
      <c r="U42" s="115"/>
      <c r="V42" s="112" t="s">
        <v>55</v>
      </c>
      <c r="X42" s="226" t="s">
        <v>56</v>
      </c>
      <c r="Y42" s="11"/>
      <c r="Z42" s="277" t="s">
        <v>57</v>
      </c>
      <c r="AA42" s="278"/>
      <c r="AC42" s="59" t="s">
        <v>55</v>
      </c>
      <c r="AE42" s="226" t="s">
        <v>60</v>
      </c>
      <c r="AG42" s="277" t="s">
        <v>59</v>
      </c>
      <c r="AH42" s="278"/>
      <c r="AJ42" s="59" t="s">
        <v>55</v>
      </c>
      <c r="AL42" s="226" t="s">
        <v>61</v>
      </c>
      <c r="AN42" s="277" t="s">
        <v>58</v>
      </c>
      <c r="AO42" s="278"/>
      <c r="AQ42" s="59" t="s">
        <v>55</v>
      </c>
      <c r="AS42" s="226" t="s">
        <v>113</v>
      </c>
      <c r="AU42" s="277" t="s">
        <v>102</v>
      </c>
      <c r="AV42" s="278"/>
    </row>
    <row r="43" spans="2:48" ht="20.399999999999999" thickBot="1">
      <c r="B43" s="12"/>
      <c r="C43" s="12"/>
      <c r="D43" s="12"/>
      <c r="E43" s="12"/>
      <c r="F43" s="12"/>
      <c r="G43" s="12"/>
      <c r="H43" s="12"/>
      <c r="I43" s="12"/>
      <c r="J43" s="12"/>
      <c r="K43" s="12"/>
      <c r="L43" s="238">
        <f>リスト!L4</f>
        <v>100000</v>
      </c>
      <c r="M43" s="238">
        <f>リスト!J4</f>
        <v>430000</v>
      </c>
      <c r="N43" s="238">
        <f>リスト!K4</f>
        <v>310000</v>
      </c>
      <c r="O43" s="232" t="s">
        <v>49</v>
      </c>
      <c r="P43" s="233"/>
      <c r="Q43" s="234">
        <f>IF(R37&lt;2,M43,M43+(L43*(R37-1)))+(N43*$P$40)</f>
        <v>430000</v>
      </c>
      <c r="R43" s="235">
        <f>Q42</f>
        <v>430000</v>
      </c>
      <c r="S43" s="77" t="s">
        <v>52</v>
      </c>
      <c r="T43" s="88">
        <v>0.5</v>
      </c>
      <c r="U43" s="115"/>
      <c r="V43" s="113">
        <f>+V38+X38+Z38</f>
        <v>7500</v>
      </c>
      <c r="W43" s="2"/>
      <c r="X43" s="227">
        <f>リスト!C6</f>
        <v>670000</v>
      </c>
      <c r="Z43" s="275">
        <f>MIN(ROUNDDOWN(V43,-2),X43)</f>
        <v>7500</v>
      </c>
      <c r="AA43" s="276"/>
      <c r="AC43" s="99">
        <f>+AC38+AE38+AG38</f>
        <v>2400</v>
      </c>
      <c r="AD43" s="2"/>
      <c r="AE43" s="227">
        <f>リスト!D6</f>
        <v>260000</v>
      </c>
      <c r="AG43" s="279">
        <f>MIN(ROUNDDOWN(AC43,-2),AE43)</f>
        <v>2400</v>
      </c>
      <c r="AH43" s="280"/>
      <c r="AJ43" s="98">
        <f>IF(AJ40=0,0,AJ38+AL38+AN38)</f>
        <v>0</v>
      </c>
      <c r="AK43" s="2"/>
      <c r="AL43" s="227">
        <f>リスト!E6</f>
        <v>170000</v>
      </c>
      <c r="AN43" s="281">
        <f>MIN(ROUNDDOWN(AJ43,-2),AL43)</f>
        <v>0</v>
      </c>
      <c r="AO43" s="282"/>
      <c r="AQ43" s="196">
        <f>+AQ38+AS38+AU38</f>
        <v>221.4</v>
      </c>
      <c r="AR43" s="2"/>
      <c r="AS43" s="9">
        <f>リスト!F6</f>
        <v>30000</v>
      </c>
      <c r="AU43" s="291">
        <f>MIN(ROUNDDOWN(AQ43,-2),AS43)</f>
        <v>200</v>
      </c>
      <c r="AV43" s="292"/>
    </row>
    <row r="44" spans="2:48" ht="9.6" customHeight="1">
      <c r="L44" s="238">
        <f>リスト!L5</f>
        <v>100000</v>
      </c>
      <c r="M44" s="238">
        <f>リスト!J5</f>
        <v>430000</v>
      </c>
      <c r="N44" s="238">
        <f>リスト!K5</f>
        <v>570000</v>
      </c>
      <c r="O44" s="232" t="s">
        <v>50</v>
      </c>
      <c r="P44" s="233"/>
      <c r="Q44" s="234">
        <f>IF(R37&lt;2,M44,M44+(L44*(R37-1)))+(N44*$P$40)</f>
        <v>430000</v>
      </c>
      <c r="R44" s="235">
        <f>Q43</f>
        <v>430000</v>
      </c>
      <c r="S44" s="77" t="s">
        <v>53</v>
      </c>
      <c r="T44" s="88">
        <v>0.8</v>
      </c>
      <c r="U44" s="93"/>
    </row>
    <row r="45" spans="2:48" ht="26.4" customHeight="1">
      <c r="L45" s="240"/>
      <c r="M45" s="240"/>
      <c r="N45" s="240"/>
      <c r="O45" s="1"/>
      <c r="P45" s="1"/>
      <c r="Q45" s="1"/>
      <c r="R45" s="235">
        <f>Q44</f>
        <v>430000</v>
      </c>
      <c r="S45" s="77" t="s">
        <v>54</v>
      </c>
      <c r="T45" s="88">
        <v>1</v>
      </c>
      <c r="U45" s="93"/>
      <c r="Z45" s="266" t="s">
        <v>90</v>
      </c>
      <c r="AA45" s="266"/>
      <c r="AG45" s="266" t="s">
        <v>89</v>
      </c>
      <c r="AH45" s="266"/>
      <c r="AN45" s="266" t="s">
        <v>89</v>
      </c>
      <c r="AO45" s="266"/>
      <c r="AU45" s="266" t="s">
        <v>89</v>
      </c>
      <c r="AV45" s="266"/>
    </row>
    <row r="46" spans="2:48">
      <c r="H46" s="2"/>
    </row>
  </sheetData>
  <mergeCells count="33">
    <mergeCell ref="J3:V3"/>
    <mergeCell ref="J6:V6"/>
    <mergeCell ref="J9:V9"/>
    <mergeCell ref="F3:I3"/>
    <mergeCell ref="F4:I5"/>
    <mergeCell ref="AU45:AV45"/>
    <mergeCell ref="AQ12:AV12"/>
    <mergeCell ref="AQ13:AQ14"/>
    <mergeCell ref="AS13:AV14"/>
    <mergeCell ref="AU42:AV42"/>
    <mergeCell ref="AU43:AV43"/>
    <mergeCell ref="Z45:AA45"/>
    <mergeCell ref="AG45:AH45"/>
    <mergeCell ref="AN45:AO45"/>
    <mergeCell ref="AJ12:AO12"/>
    <mergeCell ref="AJ13:AJ14"/>
    <mergeCell ref="AL13:AO14"/>
    <mergeCell ref="Z43:AA43"/>
    <mergeCell ref="Z42:AA42"/>
    <mergeCell ref="AG42:AH42"/>
    <mergeCell ref="AG43:AH43"/>
    <mergeCell ref="AN42:AO42"/>
    <mergeCell ref="AN43:AO43"/>
    <mergeCell ref="C17:D17"/>
    <mergeCell ref="V12:AA12"/>
    <mergeCell ref="AC12:AH12"/>
    <mergeCell ref="H13:H15"/>
    <mergeCell ref="I13:I15"/>
    <mergeCell ref="J13:J15"/>
    <mergeCell ref="V13:V14"/>
    <mergeCell ref="X13:AA14"/>
    <mergeCell ref="AE13:AH14"/>
    <mergeCell ref="AC13:AC14"/>
  </mergeCells>
  <phoneticPr fontId="3"/>
  <conditionalFormatting sqref="C17:D17">
    <cfRule type="cellIs" dxfId="1" priority="1" operator="equal">
      <formula>"--選択してください--"</formula>
    </cfRule>
  </conditionalFormatting>
  <conditionalFormatting sqref="F19:J35">
    <cfRule type="expression" dxfId="0" priority="3">
      <formula>$L19="G"</formula>
    </cfRule>
  </conditionalFormatting>
  <dataValidations count="3">
    <dataValidation type="list" allowBlank="1" showInputMessage="1" showErrorMessage="1" sqref="F17 F21 F33 F31 F27 F23 F25 F35 F19 F29" xr:uid="{00000000-0002-0000-0000-000000000000}">
      <formula1>INDIRECT($L17)</formula1>
    </dataValidation>
    <dataValidation type="list" allowBlank="1" showInputMessage="1" showErrorMessage="1" sqref="E17" xr:uid="{00000000-0002-0000-0000-000002000000}">
      <formula1>INDIRECT($C17)</formula1>
    </dataValidation>
    <dataValidation type="list" allowBlank="1" showInputMessage="1" showErrorMessage="1" sqref="E19 E21 E23 E25 E27 E33 E35 E29:E31" xr:uid="{00000000-0002-0000-0000-000003000000}">
      <formula1>国保加入者</formula1>
    </dataValidation>
  </dataValidations>
  <pageMargins left="0.12" right="0.12" top="0.75" bottom="0.26" header="0.3" footer="0.3"/>
  <pageSetup paperSize="9" scale="6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リスト!$C$12:$C$14</xm:f>
          </x14:formula1>
          <xm:sqref>C17:D17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19"/>
  <sheetViews>
    <sheetView workbookViewId="0">
      <selection activeCell="O17" sqref="O17"/>
    </sheetView>
  </sheetViews>
  <sheetFormatPr defaultRowHeight="18"/>
  <cols>
    <col min="1" max="1" width="1.19921875" customWidth="1"/>
    <col min="2" max="2" width="9.09765625" customWidth="1"/>
    <col min="3" max="5" width="13.59765625" customWidth="1"/>
    <col min="6" max="6" width="9.3984375" customWidth="1"/>
    <col min="7" max="7" width="11.69921875" customWidth="1"/>
    <col min="8" max="8" width="1.59765625" customWidth="1"/>
    <col min="9" max="12" width="13.09765625" customWidth="1"/>
    <col min="13" max="13" width="9.3984375" customWidth="1"/>
    <col min="14" max="15" width="9.8984375" customWidth="1"/>
    <col min="16" max="16" width="11" customWidth="1"/>
    <col min="17" max="17" width="9.69921875" customWidth="1"/>
    <col min="18" max="18" width="12.69921875" customWidth="1"/>
    <col min="20" max="20" width="11.8984375" customWidth="1"/>
    <col min="22" max="22" width="17.5" customWidth="1"/>
  </cols>
  <sheetData>
    <row r="1" spans="2:23" ht="24" customHeight="1">
      <c r="B1" s="192" t="s">
        <v>100</v>
      </c>
      <c r="C1" s="188"/>
      <c r="D1" s="189"/>
      <c r="E1" s="190"/>
      <c r="F1" s="191"/>
      <c r="G1" s="188"/>
      <c r="H1" s="188"/>
      <c r="I1" s="188"/>
      <c r="J1" s="188"/>
      <c r="K1" s="188"/>
      <c r="L1" s="188"/>
    </row>
    <row r="2" spans="2:23" ht="25.95" customHeight="1">
      <c r="B2" s="193" t="s">
        <v>98</v>
      </c>
      <c r="C2" s="179" t="s">
        <v>10</v>
      </c>
      <c r="D2" s="179" t="s">
        <v>9</v>
      </c>
      <c r="E2" s="179" t="s">
        <v>18</v>
      </c>
      <c r="F2" s="307" t="s">
        <v>124</v>
      </c>
      <c r="G2" s="306"/>
      <c r="I2" s="179"/>
      <c r="J2" s="179" t="s">
        <v>95</v>
      </c>
      <c r="K2" s="179" t="s">
        <v>93</v>
      </c>
      <c r="L2" s="179" t="s">
        <v>94</v>
      </c>
      <c r="P2" s="72"/>
      <c r="Q2" s="72"/>
      <c r="R2" s="72"/>
      <c r="S2" s="72"/>
      <c r="T2" s="72"/>
      <c r="U2" s="72"/>
      <c r="V2" s="72"/>
      <c r="W2" s="72"/>
    </row>
    <row r="3" spans="2:23">
      <c r="B3" s="179" t="s">
        <v>13</v>
      </c>
      <c r="C3" s="244">
        <v>9.1999999999999998E-2</v>
      </c>
      <c r="D3" s="244">
        <v>2.9000000000000001E-2</v>
      </c>
      <c r="E3" s="244">
        <v>2.4E-2</v>
      </c>
      <c r="F3" s="245">
        <v>3.2000000000000002E-3</v>
      </c>
      <c r="G3" s="230" t="s">
        <v>116</v>
      </c>
      <c r="I3" s="179" t="s">
        <v>51</v>
      </c>
      <c r="J3" s="68">
        <v>430000</v>
      </c>
      <c r="K3" s="186"/>
      <c r="L3" s="68">
        <v>100000</v>
      </c>
    </row>
    <row r="4" spans="2:23">
      <c r="B4" s="179" t="s">
        <v>19</v>
      </c>
      <c r="C4" s="68">
        <v>26600</v>
      </c>
      <c r="D4" s="68">
        <v>9000</v>
      </c>
      <c r="E4" s="68">
        <v>9600</v>
      </c>
      <c r="F4" s="231">
        <f>G4+G6</f>
        <v>1181</v>
      </c>
      <c r="G4" s="229">
        <v>1115</v>
      </c>
      <c r="I4" s="179" t="s">
        <v>52</v>
      </c>
      <c r="J4" s="68">
        <v>430000</v>
      </c>
      <c r="K4" s="68">
        <v>310000</v>
      </c>
      <c r="L4" s="68">
        <v>100000</v>
      </c>
    </row>
    <row r="5" spans="2:23">
      <c r="B5" s="179" t="s">
        <v>12</v>
      </c>
      <c r="C5" s="68">
        <v>25000</v>
      </c>
      <c r="D5" s="68">
        <v>8000</v>
      </c>
      <c r="E5" s="68">
        <v>6200</v>
      </c>
      <c r="F5" s="212">
        <v>738</v>
      </c>
      <c r="G5" s="230" t="s">
        <v>117</v>
      </c>
      <c r="I5" s="179" t="s">
        <v>53</v>
      </c>
      <c r="J5" s="68">
        <v>430000</v>
      </c>
      <c r="K5" s="68">
        <v>570000</v>
      </c>
      <c r="L5" s="68">
        <v>100000</v>
      </c>
    </row>
    <row r="6" spans="2:23" ht="19.8">
      <c r="B6" s="179" t="s">
        <v>20</v>
      </c>
      <c r="C6" s="184">
        <v>670000</v>
      </c>
      <c r="D6" s="184">
        <v>260000</v>
      </c>
      <c r="E6" s="184">
        <v>170000</v>
      </c>
      <c r="F6" s="213">
        <v>30000</v>
      </c>
      <c r="G6" s="229">
        <v>66</v>
      </c>
    </row>
    <row r="7" spans="2:23" ht="11.4" customHeight="1"/>
    <row r="8" spans="2:23" ht="20.399999999999999" customHeight="1">
      <c r="B8" s="180" t="s">
        <v>88</v>
      </c>
      <c r="C8" s="187">
        <v>430000</v>
      </c>
      <c r="D8" s="185" t="s">
        <v>99</v>
      </c>
    </row>
    <row r="9" spans="2:23">
      <c r="D9" s="7"/>
      <c r="I9" t="s">
        <v>7</v>
      </c>
    </row>
    <row r="10" spans="2:23" ht="26.4">
      <c r="D10" s="194" t="s">
        <v>101</v>
      </c>
      <c r="I10" s="73" t="s">
        <v>63</v>
      </c>
      <c r="J10" s="74" t="s">
        <v>64</v>
      </c>
      <c r="K10" s="74" t="s">
        <v>123</v>
      </c>
      <c r="L10" s="74" t="s">
        <v>73</v>
      </c>
      <c r="M10" s="74" t="s">
        <v>65</v>
      </c>
      <c r="N10" s="74" t="s">
        <v>66</v>
      </c>
      <c r="O10" s="75" t="s">
        <v>67</v>
      </c>
      <c r="P10" s="171" t="s">
        <v>84</v>
      </c>
    </row>
    <row r="11" spans="2:23">
      <c r="C11" s="181" t="s">
        <v>0</v>
      </c>
      <c r="D11" s="175" t="s">
        <v>29</v>
      </c>
      <c r="E11" s="172" t="s">
        <v>30</v>
      </c>
      <c r="F11" s="6" t="s">
        <v>1</v>
      </c>
      <c r="I11" s="161" t="s">
        <v>76</v>
      </c>
      <c r="J11" s="162" t="s">
        <v>77</v>
      </c>
      <c r="K11" s="162" t="s">
        <v>120</v>
      </c>
      <c r="L11" s="162" t="s">
        <v>121</v>
      </c>
      <c r="M11" s="162" t="s">
        <v>4</v>
      </c>
      <c r="N11" s="162" t="s">
        <v>5</v>
      </c>
      <c r="O11" s="162" t="s">
        <v>6</v>
      </c>
      <c r="P11" s="6" t="s">
        <v>97</v>
      </c>
    </row>
    <row r="12" spans="2:23" ht="18" customHeight="1">
      <c r="B12" s="305" t="s">
        <v>111</v>
      </c>
      <c r="C12" s="182" t="s">
        <v>31</v>
      </c>
      <c r="D12" s="173" t="s">
        <v>31</v>
      </c>
      <c r="E12" s="173" t="s">
        <v>31</v>
      </c>
      <c r="F12" s="159" t="s">
        <v>31</v>
      </c>
      <c r="G12" s="160"/>
      <c r="H12" s="160"/>
      <c r="I12" s="164" t="s">
        <v>72</v>
      </c>
      <c r="J12" s="164" t="s">
        <v>72</v>
      </c>
      <c r="K12" s="165" t="s">
        <v>31</v>
      </c>
      <c r="L12" s="165" t="s">
        <v>68</v>
      </c>
      <c r="M12" s="165" t="s">
        <v>31</v>
      </c>
      <c r="N12" s="165" t="s">
        <v>31</v>
      </c>
      <c r="O12" s="164" t="s">
        <v>72</v>
      </c>
      <c r="P12" s="166" t="s">
        <v>31</v>
      </c>
      <c r="R12" s="218"/>
    </row>
    <row r="13" spans="2:23">
      <c r="B13" s="305"/>
      <c r="C13" s="183" t="s">
        <v>29</v>
      </c>
      <c r="D13" s="174" t="s">
        <v>76</v>
      </c>
      <c r="E13" s="174" t="s">
        <v>76</v>
      </c>
      <c r="F13" s="163" t="s">
        <v>76</v>
      </c>
      <c r="G13" s="160"/>
      <c r="H13" s="160"/>
      <c r="I13" s="167"/>
      <c r="J13" s="168"/>
      <c r="K13" s="169" t="s">
        <v>69</v>
      </c>
      <c r="L13" s="169" t="s">
        <v>69</v>
      </c>
      <c r="M13" s="169" t="s">
        <v>3</v>
      </c>
      <c r="N13" s="169" t="s">
        <v>24</v>
      </c>
      <c r="O13" s="170"/>
      <c r="P13" s="160"/>
      <c r="Q13" s="218"/>
      <c r="R13" s="218"/>
    </row>
    <row r="14" spans="2:23">
      <c r="B14" s="305"/>
      <c r="C14" s="183" t="s">
        <v>30</v>
      </c>
      <c r="D14" s="174" t="s">
        <v>77</v>
      </c>
      <c r="E14" s="174" t="s">
        <v>77</v>
      </c>
      <c r="F14" s="163" t="s">
        <v>77</v>
      </c>
      <c r="G14" s="160"/>
      <c r="H14" s="160"/>
      <c r="I14" s="167"/>
      <c r="J14" s="168"/>
      <c r="K14" s="169" t="s">
        <v>122</v>
      </c>
      <c r="L14" s="169" t="s">
        <v>122</v>
      </c>
      <c r="M14" s="169" t="s">
        <v>122</v>
      </c>
      <c r="N14" s="169" t="s">
        <v>122</v>
      </c>
      <c r="O14" s="170"/>
      <c r="P14" s="160"/>
      <c r="Q14" s="218"/>
      <c r="R14" s="218"/>
    </row>
    <row r="15" spans="2:23">
      <c r="B15" s="305"/>
      <c r="D15" s="174" t="s">
        <v>120</v>
      </c>
      <c r="E15" s="174" t="s">
        <v>120</v>
      </c>
      <c r="F15" s="174" t="s">
        <v>120</v>
      </c>
      <c r="G15" s="160"/>
      <c r="H15" s="160"/>
      <c r="K15" s="169" t="s">
        <v>62</v>
      </c>
      <c r="L15" s="169" t="s">
        <v>62</v>
      </c>
      <c r="M15" s="169" t="s">
        <v>62</v>
      </c>
      <c r="N15" s="169" t="s">
        <v>62</v>
      </c>
    </row>
    <row r="16" spans="2:23">
      <c r="B16" s="305"/>
      <c r="D16" s="174" t="s">
        <v>121</v>
      </c>
      <c r="E16" s="174" t="s">
        <v>121</v>
      </c>
      <c r="F16" s="174" t="s">
        <v>121</v>
      </c>
      <c r="G16" s="160"/>
      <c r="H16" s="160"/>
      <c r="I16" s="160"/>
      <c r="J16" s="160"/>
      <c r="K16" s="160"/>
      <c r="L16" s="160"/>
      <c r="M16" s="160"/>
      <c r="N16" s="160"/>
      <c r="O16" s="160"/>
    </row>
    <row r="17" spans="2:15">
      <c r="B17" s="305"/>
      <c r="D17" s="174" t="s">
        <v>4</v>
      </c>
      <c r="E17" s="174" t="s">
        <v>4</v>
      </c>
      <c r="F17" s="163" t="s">
        <v>4</v>
      </c>
      <c r="G17" s="160"/>
      <c r="H17" s="160"/>
      <c r="I17" s="160"/>
      <c r="J17" s="160"/>
      <c r="K17" s="160"/>
      <c r="L17" s="160"/>
      <c r="M17" s="160"/>
      <c r="N17" s="160"/>
      <c r="O17" s="160"/>
    </row>
    <row r="18" spans="2:15">
      <c r="B18" s="305"/>
      <c r="D18" s="174" t="s">
        <v>5</v>
      </c>
      <c r="E18" s="174" t="s">
        <v>5</v>
      </c>
      <c r="F18" s="163" t="s">
        <v>5</v>
      </c>
      <c r="G18" s="160"/>
      <c r="H18" s="160"/>
      <c r="I18" s="160"/>
      <c r="J18" s="160"/>
      <c r="K18" s="160"/>
      <c r="L18" s="160"/>
      <c r="M18" s="160"/>
      <c r="N18" s="160"/>
      <c r="O18" s="160"/>
    </row>
    <row r="19" spans="2:15">
      <c r="D19" s="163" t="s">
        <v>6</v>
      </c>
      <c r="E19" s="160"/>
      <c r="F19" s="160"/>
      <c r="L19" s="160"/>
      <c r="M19" s="160"/>
      <c r="N19" s="160"/>
    </row>
  </sheetData>
  <mergeCells count="1">
    <mergeCell ref="B12:B18"/>
  </mergeCells>
  <phoneticPr fontId="3"/>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workbookViewId="0">
      <selection activeCell="R24" sqref="R24"/>
    </sheetView>
  </sheetViews>
  <sheetFormatPr defaultRowHeight="18"/>
  <cols>
    <col min="2" max="2" width="12" customWidth="1"/>
    <col min="3" max="3" width="5.69921875" customWidth="1"/>
    <col min="4" max="4" width="10.09765625" customWidth="1"/>
    <col min="7" max="7" width="5.3984375" style="46" customWidth="1"/>
    <col min="8" max="10" width="8.796875" customWidth="1"/>
    <col min="11" max="11" width="10.5" customWidth="1"/>
    <col min="12" max="12" width="10.69921875" customWidth="1"/>
    <col min="13" max="13" width="8.796875" customWidth="1"/>
    <col min="14" max="14" width="9.3984375" bestFit="1" customWidth="1"/>
  </cols>
  <sheetData>
    <row r="1" spans="1:15">
      <c r="D1" t="s">
        <v>36</v>
      </c>
      <c r="E1" t="s">
        <v>39</v>
      </c>
      <c r="F1" s="15" t="s">
        <v>34</v>
      </c>
    </row>
    <row r="2" spans="1:15" s="69" customFormat="1" ht="16.2">
      <c r="B2" s="69" t="s">
        <v>32</v>
      </c>
      <c r="C2" s="69" t="s">
        <v>35</v>
      </c>
      <c r="D2" s="69" t="s">
        <v>37</v>
      </c>
      <c r="E2" s="69" t="s">
        <v>37</v>
      </c>
      <c r="F2" s="70" t="s">
        <v>33</v>
      </c>
      <c r="G2" s="71" t="s">
        <v>40</v>
      </c>
      <c r="H2" s="69" t="s">
        <v>41</v>
      </c>
      <c r="I2" s="69" t="s">
        <v>42</v>
      </c>
      <c r="K2" s="69" t="s">
        <v>46</v>
      </c>
      <c r="L2" s="69" t="s">
        <v>44</v>
      </c>
      <c r="M2" s="69" t="s">
        <v>43</v>
      </c>
      <c r="O2" s="69" t="s">
        <v>45</v>
      </c>
    </row>
    <row r="3" spans="1:15">
      <c r="A3">
        <v>1</v>
      </c>
      <c r="B3" s="39">
        <f>'新国保世帯用入力 '!I17</f>
        <v>0</v>
      </c>
      <c r="C3" s="1">
        <f xml:space="preserve"> '新国保世帯用入力 '!E17</f>
        <v>0</v>
      </c>
      <c r="D3">
        <f>VLOOKUP(B3,$B$26:$F$31,2,2)</f>
        <v>1</v>
      </c>
      <c r="E3">
        <f>VLOOKUP(B3,$B$32:$E$36,2,2)</f>
        <v>7</v>
      </c>
      <c r="F3">
        <f>IF(OR($F$1=C3,$F$2=C3),E3,D3)</f>
        <v>1</v>
      </c>
      <c r="G3" s="46">
        <f>VLOOKUP(F3,$C$26:$E$36,2,1)</f>
        <v>0</v>
      </c>
      <c r="H3">
        <f>VLOOKUP(F3,$C$26:$E$36,3,1)</f>
        <v>0</v>
      </c>
      <c r="I3" s="5">
        <f>B3*G3-H3</f>
        <v>0</v>
      </c>
      <c r="J3">
        <f>IF(OR($F$1=C3,$F$2=C3),I3-150000,I3)</f>
        <v>0</v>
      </c>
      <c r="K3" s="68">
        <f>IF(J3&lt;0,0,J3)</f>
        <v>0</v>
      </c>
      <c r="L3">
        <f>IF(I3&lt;100000,I3,100000)</f>
        <v>0</v>
      </c>
      <c r="M3" s="47">
        <f>'新国保世帯用入力 '!H17</f>
        <v>0</v>
      </c>
      <c r="N3" s="47">
        <f>M3-L3</f>
        <v>0</v>
      </c>
      <c r="O3" s="5">
        <f>IF(N3&lt;0,0,N3)</f>
        <v>0</v>
      </c>
    </row>
    <row r="4" spans="1:15" ht="7.95" customHeight="1">
      <c r="A4">
        <v>2</v>
      </c>
      <c r="B4" s="39">
        <f>'新国保世帯用入力 '!I18</f>
        <v>0</v>
      </c>
      <c r="C4" s="1">
        <f xml:space="preserve"> '新国保世帯用入力 '!E18</f>
        <v>0</v>
      </c>
      <c r="D4">
        <f t="shared" ref="D4:D22" si="0">VLOOKUP(B4,$B$26:$F$31,2,2)</f>
        <v>1</v>
      </c>
      <c r="E4">
        <f t="shared" ref="E4:E22" si="1">VLOOKUP(B4,$B$32:$E$36,2,2)</f>
        <v>7</v>
      </c>
      <c r="F4">
        <f t="shared" ref="F4:F22" si="2">IF(OR($F$1=C4,$F$2=C4),E4,D4)</f>
        <v>1</v>
      </c>
      <c r="G4" s="46">
        <f t="shared" ref="G4:G22" si="3">VLOOKUP(F4,$C$26:$E$36,2,1)</f>
        <v>0</v>
      </c>
      <c r="H4">
        <f t="shared" ref="H4:H21" si="4">VLOOKUP(F4,$C$26:$E$36,3,1)</f>
        <v>0</v>
      </c>
      <c r="I4" s="5">
        <f t="shared" ref="I4:I22" si="5">B4*G4-H4</f>
        <v>0</v>
      </c>
      <c r="J4">
        <f t="shared" ref="J4:J22" si="6">IF(OR($F$1=C4,$F$2=C4),I4-150000,I4)</f>
        <v>0</v>
      </c>
      <c r="K4" s="68">
        <f t="shared" ref="K4:K22" si="7">IF(J4&lt;0,0,J4)</f>
        <v>0</v>
      </c>
      <c r="L4">
        <f t="shared" ref="L4:L22" si="8">IF(I4&lt;100000,I4,100000)</f>
        <v>0</v>
      </c>
      <c r="M4" s="47">
        <f>'新国保世帯用入力 '!H18</f>
        <v>0</v>
      </c>
      <c r="N4" s="47">
        <f t="shared" ref="N4:N22" si="9">M4-L4</f>
        <v>0</v>
      </c>
      <c r="O4" s="5">
        <f t="shared" ref="O4:O22" si="10">IF(N4&lt;0,0,N4)</f>
        <v>0</v>
      </c>
    </row>
    <row r="5" spans="1:15">
      <c r="A5">
        <v>3</v>
      </c>
      <c r="B5" s="39">
        <f>'新国保世帯用入力 '!I19</f>
        <v>0</v>
      </c>
      <c r="C5" s="1">
        <f xml:space="preserve"> '新国保世帯用入力 '!E19</f>
        <v>0</v>
      </c>
      <c r="D5">
        <f t="shared" si="0"/>
        <v>1</v>
      </c>
      <c r="E5">
        <f t="shared" si="1"/>
        <v>7</v>
      </c>
      <c r="F5">
        <f t="shared" si="2"/>
        <v>1</v>
      </c>
      <c r="G5" s="46">
        <f t="shared" si="3"/>
        <v>0</v>
      </c>
      <c r="H5">
        <f t="shared" si="4"/>
        <v>0</v>
      </c>
      <c r="I5" s="5">
        <f>B5*G5-H5</f>
        <v>0</v>
      </c>
      <c r="J5">
        <f t="shared" si="6"/>
        <v>0</v>
      </c>
      <c r="K5" s="68">
        <f t="shared" si="7"/>
        <v>0</v>
      </c>
      <c r="L5">
        <f t="shared" si="8"/>
        <v>0</v>
      </c>
      <c r="M5" s="47">
        <f>'新国保世帯用入力 '!H19</f>
        <v>0</v>
      </c>
      <c r="N5" s="47">
        <f t="shared" si="9"/>
        <v>0</v>
      </c>
      <c r="O5" s="5">
        <f t="shared" si="10"/>
        <v>0</v>
      </c>
    </row>
    <row r="6" spans="1:15" ht="7.95" customHeight="1">
      <c r="A6">
        <v>4</v>
      </c>
      <c r="B6" s="39">
        <f>'新国保世帯用入力 '!I20</f>
        <v>0</v>
      </c>
      <c r="C6" s="1">
        <f xml:space="preserve"> '新国保世帯用入力 '!E20</f>
        <v>0</v>
      </c>
      <c r="D6">
        <f t="shared" si="0"/>
        <v>1</v>
      </c>
      <c r="E6">
        <f t="shared" si="1"/>
        <v>7</v>
      </c>
      <c r="F6">
        <f t="shared" si="2"/>
        <v>1</v>
      </c>
      <c r="G6" s="46">
        <f t="shared" si="3"/>
        <v>0</v>
      </c>
      <c r="H6">
        <f t="shared" si="4"/>
        <v>0</v>
      </c>
      <c r="I6" s="5">
        <f t="shared" si="5"/>
        <v>0</v>
      </c>
      <c r="J6">
        <f t="shared" si="6"/>
        <v>0</v>
      </c>
      <c r="K6" s="68">
        <f t="shared" si="7"/>
        <v>0</v>
      </c>
      <c r="L6">
        <f t="shared" si="8"/>
        <v>0</v>
      </c>
      <c r="M6" s="47">
        <f>'新国保世帯用入力 '!H20</f>
        <v>0</v>
      </c>
      <c r="N6" s="47">
        <f t="shared" si="9"/>
        <v>0</v>
      </c>
      <c r="O6" s="5">
        <f t="shared" si="10"/>
        <v>0</v>
      </c>
    </row>
    <row r="7" spans="1:15">
      <c r="A7">
        <v>5</v>
      </c>
      <c r="B7" s="39">
        <f>'新国保世帯用入力 '!I21</f>
        <v>0</v>
      </c>
      <c r="C7" s="1">
        <f xml:space="preserve"> '新国保世帯用入力 '!E21</f>
        <v>0</v>
      </c>
      <c r="D7">
        <f t="shared" si="0"/>
        <v>1</v>
      </c>
      <c r="E7">
        <f t="shared" si="1"/>
        <v>7</v>
      </c>
      <c r="F7">
        <f t="shared" si="2"/>
        <v>1</v>
      </c>
      <c r="G7" s="46">
        <f t="shared" si="3"/>
        <v>0</v>
      </c>
      <c r="H7">
        <f t="shared" si="4"/>
        <v>0</v>
      </c>
      <c r="I7" s="5">
        <f t="shared" si="5"/>
        <v>0</v>
      </c>
      <c r="J7">
        <f t="shared" si="6"/>
        <v>0</v>
      </c>
      <c r="K7" s="68">
        <f t="shared" si="7"/>
        <v>0</v>
      </c>
      <c r="L7">
        <f t="shared" si="8"/>
        <v>0</v>
      </c>
      <c r="M7" s="47">
        <f>'新国保世帯用入力 '!H21</f>
        <v>0</v>
      </c>
      <c r="N7" s="47">
        <f t="shared" si="9"/>
        <v>0</v>
      </c>
      <c r="O7" s="5">
        <f t="shared" si="10"/>
        <v>0</v>
      </c>
    </row>
    <row r="8" spans="1:15" ht="6.6" customHeight="1">
      <c r="A8">
        <v>6</v>
      </c>
      <c r="B8" s="39">
        <f>'新国保世帯用入力 '!I22</f>
        <v>0</v>
      </c>
      <c r="C8" s="1">
        <f xml:space="preserve"> '新国保世帯用入力 '!E22</f>
        <v>0</v>
      </c>
      <c r="D8">
        <f t="shared" si="0"/>
        <v>1</v>
      </c>
      <c r="E8">
        <f t="shared" si="1"/>
        <v>7</v>
      </c>
      <c r="F8">
        <f t="shared" si="2"/>
        <v>1</v>
      </c>
      <c r="G8" s="46">
        <f t="shared" si="3"/>
        <v>0</v>
      </c>
      <c r="H8">
        <f t="shared" si="4"/>
        <v>0</v>
      </c>
      <c r="I8" s="5">
        <f t="shared" si="5"/>
        <v>0</v>
      </c>
      <c r="J8">
        <f t="shared" si="6"/>
        <v>0</v>
      </c>
      <c r="K8" s="68">
        <f t="shared" si="7"/>
        <v>0</v>
      </c>
      <c r="L8">
        <f t="shared" si="8"/>
        <v>0</v>
      </c>
      <c r="M8" s="47">
        <f>'新国保世帯用入力 '!H22</f>
        <v>0</v>
      </c>
      <c r="N8" s="47">
        <f t="shared" si="9"/>
        <v>0</v>
      </c>
      <c r="O8" s="5">
        <f t="shared" si="10"/>
        <v>0</v>
      </c>
    </row>
    <row r="9" spans="1:15">
      <c r="A9">
        <v>7</v>
      </c>
      <c r="B9" s="39">
        <f>'新国保世帯用入力 '!I23</f>
        <v>0</v>
      </c>
      <c r="C9" s="1">
        <f xml:space="preserve"> '新国保世帯用入力 '!E23</f>
        <v>0</v>
      </c>
      <c r="D9">
        <f t="shared" si="0"/>
        <v>1</v>
      </c>
      <c r="E9">
        <f t="shared" si="1"/>
        <v>7</v>
      </c>
      <c r="F9">
        <f t="shared" si="2"/>
        <v>1</v>
      </c>
      <c r="G9" s="46">
        <f t="shared" si="3"/>
        <v>0</v>
      </c>
      <c r="H9">
        <f t="shared" si="4"/>
        <v>0</v>
      </c>
      <c r="I9" s="5">
        <f t="shared" si="5"/>
        <v>0</v>
      </c>
      <c r="J9">
        <f t="shared" si="6"/>
        <v>0</v>
      </c>
      <c r="K9" s="68">
        <f t="shared" si="7"/>
        <v>0</v>
      </c>
      <c r="L9">
        <f t="shared" si="8"/>
        <v>0</v>
      </c>
      <c r="M9" s="47">
        <f>'新国保世帯用入力 '!H23</f>
        <v>0</v>
      </c>
      <c r="N9" s="47">
        <f t="shared" si="9"/>
        <v>0</v>
      </c>
      <c r="O9" s="5">
        <f t="shared" si="10"/>
        <v>0</v>
      </c>
    </row>
    <row r="10" spans="1:15" ht="6" customHeight="1">
      <c r="A10">
        <v>8</v>
      </c>
      <c r="B10" s="39">
        <f>'新国保世帯用入力 '!I24</f>
        <v>0</v>
      </c>
      <c r="C10" s="1">
        <f xml:space="preserve"> '新国保世帯用入力 '!E24</f>
        <v>0</v>
      </c>
      <c r="D10">
        <f t="shared" si="0"/>
        <v>1</v>
      </c>
      <c r="E10">
        <f t="shared" si="1"/>
        <v>7</v>
      </c>
      <c r="F10">
        <f t="shared" si="2"/>
        <v>1</v>
      </c>
      <c r="G10" s="46">
        <f t="shared" si="3"/>
        <v>0</v>
      </c>
      <c r="H10">
        <f t="shared" si="4"/>
        <v>0</v>
      </c>
      <c r="I10" s="5">
        <f t="shared" si="5"/>
        <v>0</v>
      </c>
      <c r="J10">
        <f t="shared" si="6"/>
        <v>0</v>
      </c>
      <c r="K10" s="68">
        <f t="shared" si="7"/>
        <v>0</v>
      </c>
      <c r="L10">
        <f t="shared" si="8"/>
        <v>0</v>
      </c>
      <c r="M10" s="47">
        <f>'新国保世帯用入力 '!H24</f>
        <v>0</v>
      </c>
      <c r="N10" s="47">
        <f t="shared" si="9"/>
        <v>0</v>
      </c>
      <c r="O10" s="5">
        <f t="shared" si="10"/>
        <v>0</v>
      </c>
    </row>
    <row r="11" spans="1:15">
      <c r="A11">
        <v>9</v>
      </c>
      <c r="B11" s="39">
        <f>'新国保世帯用入力 '!I25</f>
        <v>0</v>
      </c>
      <c r="C11" s="1">
        <f xml:space="preserve"> '新国保世帯用入力 '!E25</f>
        <v>0</v>
      </c>
      <c r="D11">
        <f t="shared" si="0"/>
        <v>1</v>
      </c>
      <c r="E11">
        <f t="shared" si="1"/>
        <v>7</v>
      </c>
      <c r="F11">
        <f t="shared" si="2"/>
        <v>1</v>
      </c>
      <c r="G11" s="46">
        <f t="shared" si="3"/>
        <v>0</v>
      </c>
      <c r="H11">
        <f t="shared" si="4"/>
        <v>0</v>
      </c>
      <c r="I11" s="5">
        <f t="shared" si="5"/>
        <v>0</v>
      </c>
      <c r="J11">
        <f t="shared" si="6"/>
        <v>0</v>
      </c>
      <c r="K11" s="68">
        <f t="shared" si="7"/>
        <v>0</v>
      </c>
      <c r="L11">
        <f t="shared" si="8"/>
        <v>0</v>
      </c>
      <c r="M11" s="47">
        <f>'新国保世帯用入力 '!H25</f>
        <v>0</v>
      </c>
      <c r="N11" s="47">
        <f t="shared" si="9"/>
        <v>0</v>
      </c>
      <c r="O11" s="5">
        <f t="shared" si="10"/>
        <v>0</v>
      </c>
    </row>
    <row r="12" spans="1:15" ht="6" customHeight="1">
      <c r="A12">
        <v>10</v>
      </c>
      <c r="B12" s="39">
        <f>'新国保世帯用入力 '!I26</f>
        <v>0</v>
      </c>
      <c r="C12" s="1">
        <f xml:space="preserve"> '新国保世帯用入力 '!E26</f>
        <v>0</v>
      </c>
      <c r="D12">
        <f t="shared" si="0"/>
        <v>1</v>
      </c>
      <c r="E12">
        <f t="shared" si="1"/>
        <v>7</v>
      </c>
      <c r="F12">
        <f t="shared" si="2"/>
        <v>1</v>
      </c>
      <c r="G12" s="46">
        <f t="shared" si="3"/>
        <v>0</v>
      </c>
      <c r="H12">
        <f t="shared" si="4"/>
        <v>0</v>
      </c>
      <c r="I12" s="5">
        <f t="shared" si="5"/>
        <v>0</v>
      </c>
      <c r="J12">
        <f t="shared" si="6"/>
        <v>0</v>
      </c>
      <c r="K12" s="68">
        <f t="shared" si="7"/>
        <v>0</v>
      </c>
      <c r="L12">
        <f t="shared" si="8"/>
        <v>0</v>
      </c>
      <c r="M12" s="47">
        <f>'新国保世帯用入力 '!H26</f>
        <v>0</v>
      </c>
      <c r="N12" s="47">
        <f t="shared" si="9"/>
        <v>0</v>
      </c>
      <c r="O12" s="5">
        <f t="shared" si="10"/>
        <v>0</v>
      </c>
    </row>
    <row r="13" spans="1:15">
      <c r="A13">
        <v>11</v>
      </c>
      <c r="B13" s="39">
        <f>'新国保世帯用入力 '!I27</f>
        <v>0</v>
      </c>
      <c r="C13" s="1">
        <f xml:space="preserve"> '新国保世帯用入力 '!E27</f>
        <v>0</v>
      </c>
      <c r="D13">
        <f t="shared" si="0"/>
        <v>1</v>
      </c>
      <c r="E13">
        <f t="shared" si="1"/>
        <v>7</v>
      </c>
      <c r="F13">
        <f t="shared" si="2"/>
        <v>1</v>
      </c>
      <c r="G13" s="46">
        <f t="shared" si="3"/>
        <v>0</v>
      </c>
      <c r="H13">
        <f t="shared" si="4"/>
        <v>0</v>
      </c>
      <c r="I13" s="5">
        <f t="shared" si="5"/>
        <v>0</v>
      </c>
      <c r="J13">
        <f t="shared" si="6"/>
        <v>0</v>
      </c>
      <c r="K13" s="68">
        <f t="shared" si="7"/>
        <v>0</v>
      </c>
      <c r="L13">
        <f>IF(I13&lt;100000,I13,100000)</f>
        <v>0</v>
      </c>
      <c r="M13" s="47">
        <f>'新国保世帯用入力 '!H27</f>
        <v>0</v>
      </c>
      <c r="N13" s="47">
        <f t="shared" si="9"/>
        <v>0</v>
      </c>
      <c r="O13" s="5">
        <f>IF(N13&lt;0,0,N13)</f>
        <v>0</v>
      </c>
    </row>
    <row r="14" spans="1:15" ht="5.4" customHeight="1">
      <c r="A14">
        <v>12</v>
      </c>
      <c r="B14" s="39">
        <f>'新国保世帯用入力 '!I28</f>
        <v>0</v>
      </c>
      <c r="C14" s="1">
        <f xml:space="preserve"> '新国保世帯用入力 '!E28</f>
        <v>0</v>
      </c>
      <c r="D14">
        <f t="shared" si="0"/>
        <v>1</v>
      </c>
      <c r="E14">
        <f t="shared" si="1"/>
        <v>7</v>
      </c>
      <c r="F14">
        <f t="shared" si="2"/>
        <v>1</v>
      </c>
      <c r="G14" s="46">
        <f t="shared" si="3"/>
        <v>0</v>
      </c>
      <c r="H14">
        <f t="shared" si="4"/>
        <v>0</v>
      </c>
      <c r="I14" s="5">
        <f t="shared" si="5"/>
        <v>0</v>
      </c>
      <c r="J14">
        <f t="shared" si="6"/>
        <v>0</v>
      </c>
      <c r="K14" s="68">
        <f t="shared" si="7"/>
        <v>0</v>
      </c>
      <c r="L14">
        <f t="shared" si="8"/>
        <v>0</v>
      </c>
      <c r="M14" s="47">
        <f>'新国保世帯用入力 '!H28</f>
        <v>0</v>
      </c>
      <c r="N14" s="47">
        <f t="shared" si="9"/>
        <v>0</v>
      </c>
      <c r="O14" s="5">
        <f t="shared" si="10"/>
        <v>0</v>
      </c>
    </row>
    <row r="15" spans="1:15">
      <c r="A15">
        <v>13</v>
      </c>
      <c r="B15" s="39">
        <f>'新国保世帯用入力 '!I29</f>
        <v>0</v>
      </c>
      <c r="C15" s="1">
        <f xml:space="preserve"> '新国保世帯用入力 '!E29</f>
        <v>0</v>
      </c>
      <c r="D15">
        <f t="shared" si="0"/>
        <v>1</v>
      </c>
      <c r="E15">
        <f t="shared" si="1"/>
        <v>7</v>
      </c>
      <c r="F15">
        <f>IF(OR($F$1=C15,$F$2=C15),E15,D15)</f>
        <v>1</v>
      </c>
      <c r="G15" s="46">
        <f t="shared" si="3"/>
        <v>0</v>
      </c>
      <c r="H15">
        <f t="shared" si="4"/>
        <v>0</v>
      </c>
      <c r="I15" s="5">
        <f>B15*G15-H15</f>
        <v>0</v>
      </c>
      <c r="J15">
        <f t="shared" si="6"/>
        <v>0</v>
      </c>
      <c r="K15" s="68">
        <f t="shared" si="7"/>
        <v>0</v>
      </c>
      <c r="L15">
        <f t="shared" si="8"/>
        <v>0</v>
      </c>
      <c r="M15" s="47">
        <f>'新国保世帯用入力 '!H29</f>
        <v>0</v>
      </c>
      <c r="N15" s="47">
        <f t="shared" si="9"/>
        <v>0</v>
      </c>
      <c r="O15" s="5">
        <f t="shared" si="10"/>
        <v>0</v>
      </c>
    </row>
    <row r="16" spans="1:15" ht="5.4" customHeight="1">
      <c r="A16">
        <v>14</v>
      </c>
      <c r="B16" s="39">
        <f>'新国保世帯用入力 '!I30</f>
        <v>0</v>
      </c>
      <c r="C16" s="1">
        <f xml:space="preserve"> '新国保世帯用入力 '!E30</f>
        <v>0</v>
      </c>
      <c r="D16">
        <f t="shared" si="0"/>
        <v>1</v>
      </c>
      <c r="E16">
        <f t="shared" si="1"/>
        <v>7</v>
      </c>
      <c r="F16">
        <f t="shared" si="2"/>
        <v>1</v>
      </c>
      <c r="G16" s="46">
        <f t="shared" si="3"/>
        <v>0</v>
      </c>
      <c r="H16">
        <f t="shared" si="4"/>
        <v>0</v>
      </c>
      <c r="I16" s="5">
        <f t="shared" si="5"/>
        <v>0</v>
      </c>
      <c r="J16">
        <f t="shared" si="6"/>
        <v>0</v>
      </c>
      <c r="K16" s="68">
        <f t="shared" si="7"/>
        <v>0</v>
      </c>
      <c r="L16">
        <f t="shared" si="8"/>
        <v>0</v>
      </c>
      <c r="M16" s="47">
        <f>'新国保世帯用入力 '!H30</f>
        <v>0</v>
      </c>
      <c r="N16" s="47">
        <f t="shared" si="9"/>
        <v>0</v>
      </c>
      <c r="O16" s="5">
        <f t="shared" si="10"/>
        <v>0</v>
      </c>
    </row>
    <row r="17" spans="1:15">
      <c r="A17">
        <v>15</v>
      </c>
      <c r="B17" s="39">
        <f>'新国保世帯用入力 '!I31</f>
        <v>0</v>
      </c>
      <c r="C17" s="1">
        <f xml:space="preserve"> '新国保世帯用入力 '!E31</f>
        <v>0</v>
      </c>
      <c r="D17">
        <f t="shared" si="0"/>
        <v>1</v>
      </c>
      <c r="E17">
        <f t="shared" si="1"/>
        <v>7</v>
      </c>
      <c r="F17">
        <f t="shared" si="2"/>
        <v>1</v>
      </c>
      <c r="G17" s="46">
        <f t="shared" si="3"/>
        <v>0</v>
      </c>
      <c r="H17">
        <f t="shared" si="4"/>
        <v>0</v>
      </c>
      <c r="I17" s="5">
        <f t="shared" si="5"/>
        <v>0</v>
      </c>
      <c r="J17">
        <f t="shared" si="6"/>
        <v>0</v>
      </c>
      <c r="K17" s="68">
        <f t="shared" si="7"/>
        <v>0</v>
      </c>
      <c r="L17">
        <f t="shared" si="8"/>
        <v>0</v>
      </c>
      <c r="M17" s="47">
        <f>'新国保世帯用入力 '!H31</f>
        <v>0</v>
      </c>
      <c r="N17" s="47">
        <f t="shared" si="9"/>
        <v>0</v>
      </c>
      <c r="O17" s="5">
        <f t="shared" si="10"/>
        <v>0</v>
      </c>
    </row>
    <row r="18" spans="1:15" ht="4.2" customHeight="1">
      <c r="A18">
        <v>16</v>
      </c>
      <c r="B18" s="39">
        <f>'新国保世帯用入力 '!I32</f>
        <v>0</v>
      </c>
      <c r="C18" s="1">
        <f xml:space="preserve"> '新国保世帯用入力 '!E32</f>
        <v>0</v>
      </c>
      <c r="D18">
        <f t="shared" si="0"/>
        <v>1</v>
      </c>
      <c r="E18">
        <f t="shared" si="1"/>
        <v>7</v>
      </c>
      <c r="F18">
        <f t="shared" si="2"/>
        <v>1</v>
      </c>
      <c r="G18" s="46">
        <f t="shared" si="3"/>
        <v>0</v>
      </c>
      <c r="H18">
        <f t="shared" si="4"/>
        <v>0</v>
      </c>
      <c r="I18" s="5">
        <f t="shared" si="5"/>
        <v>0</v>
      </c>
      <c r="J18">
        <f t="shared" si="6"/>
        <v>0</v>
      </c>
      <c r="K18" s="68">
        <f t="shared" si="7"/>
        <v>0</v>
      </c>
      <c r="L18">
        <f t="shared" si="8"/>
        <v>0</v>
      </c>
      <c r="M18" s="47">
        <f>'新国保世帯用入力 '!H32</f>
        <v>0</v>
      </c>
      <c r="N18" s="47">
        <f t="shared" si="9"/>
        <v>0</v>
      </c>
      <c r="O18" s="5">
        <f t="shared" si="10"/>
        <v>0</v>
      </c>
    </row>
    <row r="19" spans="1:15">
      <c r="A19">
        <v>17</v>
      </c>
      <c r="B19" s="39">
        <f>'新国保世帯用入力 '!I33</f>
        <v>0</v>
      </c>
      <c r="C19" s="1">
        <f xml:space="preserve"> '新国保世帯用入力 '!E33</f>
        <v>0</v>
      </c>
      <c r="D19">
        <f t="shared" si="0"/>
        <v>1</v>
      </c>
      <c r="E19">
        <f t="shared" si="1"/>
        <v>7</v>
      </c>
      <c r="F19">
        <f t="shared" si="2"/>
        <v>1</v>
      </c>
      <c r="G19" s="46">
        <f t="shared" si="3"/>
        <v>0</v>
      </c>
      <c r="H19">
        <f t="shared" si="4"/>
        <v>0</v>
      </c>
      <c r="I19" s="5">
        <f t="shared" si="5"/>
        <v>0</v>
      </c>
      <c r="J19">
        <f t="shared" si="6"/>
        <v>0</v>
      </c>
      <c r="K19" s="68">
        <f t="shared" si="7"/>
        <v>0</v>
      </c>
      <c r="L19">
        <f t="shared" si="8"/>
        <v>0</v>
      </c>
      <c r="M19" s="47">
        <f>'新国保世帯用入力 '!H33</f>
        <v>0</v>
      </c>
      <c r="N19" s="47">
        <f t="shared" si="9"/>
        <v>0</v>
      </c>
      <c r="O19" s="5">
        <f t="shared" si="10"/>
        <v>0</v>
      </c>
    </row>
    <row r="20" spans="1:15" ht="3.6" customHeight="1">
      <c r="A20">
        <v>18</v>
      </c>
      <c r="B20" s="39">
        <f>'新国保世帯用入力 '!I34</f>
        <v>0</v>
      </c>
      <c r="C20" s="1">
        <f xml:space="preserve"> '新国保世帯用入力 '!E34</f>
        <v>0</v>
      </c>
      <c r="D20">
        <f t="shared" si="0"/>
        <v>1</v>
      </c>
      <c r="E20">
        <f t="shared" si="1"/>
        <v>7</v>
      </c>
      <c r="F20">
        <f t="shared" si="2"/>
        <v>1</v>
      </c>
      <c r="G20" s="46">
        <f t="shared" si="3"/>
        <v>0</v>
      </c>
      <c r="H20">
        <f t="shared" si="4"/>
        <v>0</v>
      </c>
      <c r="I20" s="5">
        <f t="shared" si="5"/>
        <v>0</v>
      </c>
      <c r="J20">
        <f t="shared" si="6"/>
        <v>0</v>
      </c>
      <c r="K20" s="68">
        <f t="shared" si="7"/>
        <v>0</v>
      </c>
      <c r="L20">
        <f t="shared" si="8"/>
        <v>0</v>
      </c>
      <c r="M20" s="47">
        <f>'新国保世帯用入力 '!H34</f>
        <v>0</v>
      </c>
      <c r="N20" s="47">
        <f t="shared" si="9"/>
        <v>0</v>
      </c>
      <c r="O20" s="5">
        <f t="shared" si="10"/>
        <v>0</v>
      </c>
    </row>
    <row r="21" spans="1:15">
      <c r="A21">
        <v>19</v>
      </c>
      <c r="B21" s="39">
        <f>'新国保世帯用入力 '!I35</f>
        <v>0</v>
      </c>
      <c r="C21" s="1">
        <f xml:space="preserve"> '新国保世帯用入力 '!E35</f>
        <v>0</v>
      </c>
      <c r="D21">
        <f t="shared" si="0"/>
        <v>1</v>
      </c>
      <c r="E21">
        <f t="shared" si="1"/>
        <v>7</v>
      </c>
      <c r="F21">
        <f t="shared" si="2"/>
        <v>1</v>
      </c>
      <c r="G21" s="46">
        <f t="shared" si="3"/>
        <v>0</v>
      </c>
      <c r="H21">
        <f t="shared" si="4"/>
        <v>0</v>
      </c>
      <c r="I21" s="5">
        <f t="shared" si="5"/>
        <v>0</v>
      </c>
      <c r="J21">
        <f t="shared" si="6"/>
        <v>0</v>
      </c>
      <c r="K21" s="68">
        <f t="shared" si="7"/>
        <v>0</v>
      </c>
      <c r="L21">
        <f t="shared" si="8"/>
        <v>0</v>
      </c>
      <c r="M21" s="47">
        <f>'新国保世帯用入力 '!H35</f>
        <v>0</v>
      </c>
      <c r="N21" s="47">
        <f t="shared" si="9"/>
        <v>0</v>
      </c>
      <c r="O21" s="5">
        <f t="shared" si="10"/>
        <v>0</v>
      </c>
    </row>
    <row r="22" spans="1:15" ht="6" customHeight="1">
      <c r="A22">
        <v>20</v>
      </c>
      <c r="B22" s="39">
        <f>'新国保世帯用入力 '!I36</f>
        <v>0</v>
      </c>
      <c r="C22" s="1">
        <f xml:space="preserve"> '新国保世帯用入力 '!E36</f>
        <v>0</v>
      </c>
      <c r="D22">
        <f t="shared" si="0"/>
        <v>1</v>
      </c>
      <c r="E22">
        <f t="shared" si="1"/>
        <v>7</v>
      </c>
      <c r="F22">
        <f t="shared" si="2"/>
        <v>1</v>
      </c>
      <c r="G22" s="46">
        <f t="shared" si="3"/>
        <v>0</v>
      </c>
      <c r="H22">
        <f t="shared" ref="H22" si="11">VLOOKUP(F22,$C$26:$E$36,3,1)</f>
        <v>0</v>
      </c>
      <c r="I22" s="5">
        <f t="shared" si="5"/>
        <v>0</v>
      </c>
      <c r="J22">
        <f t="shared" si="6"/>
        <v>0</v>
      </c>
      <c r="K22" s="68">
        <f t="shared" si="7"/>
        <v>0</v>
      </c>
      <c r="L22">
        <f t="shared" si="8"/>
        <v>0</v>
      </c>
      <c r="M22" s="47">
        <f>'新国保世帯用入力 '!H36</f>
        <v>0</v>
      </c>
      <c r="N22" s="47">
        <f t="shared" si="9"/>
        <v>0</v>
      </c>
      <c r="O22" s="5">
        <f t="shared" si="10"/>
        <v>0</v>
      </c>
    </row>
    <row r="25" spans="1:15">
      <c r="B25" t="s">
        <v>86</v>
      </c>
      <c r="C25" t="s">
        <v>37</v>
      </c>
    </row>
    <row r="26" spans="1:15">
      <c r="A26" s="127" t="s">
        <v>38</v>
      </c>
      <c r="B26" s="128">
        <v>0</v>
      </c>
      <c r="C26" s="129">
        <v>1</v>
      </c>
      <c r="D26" s="130">
        <v>0</v>
      </c>
      <c r="E26" s="131"/>
    </row>
    <row r="27" spans="1:15">
      <c r="A27" s="8"/>
      <c r="B27" s="132">
        <v>600001</v>
      </c>
      <c r="C27">
        <v>2</v>
      </c>
      <c r="D27" s="133">
        <v>1</v>
      </c>
      <c r="E27" s="116">
        <v>600000</v>
      </c>
    </row>
    <row r="28" spans="1:15">
      <c r="A28" s="8"/>
      <c r="B28" s="132">
        <v>1300000</v>
      </c>
      <c r="C28">
        <v>3</v>
      </c>
      <c r="D28" s="133">
        <v>0.75</v>
      </c>
      <c r="E28" s="116">
        <v>275000</v>
      </c>
    </row>
    <row r="29" spans="1:15">
      <c r="A29" s="8"/>
      <c r="B29" s="132">
        <v>4100000</v>
      </c>
      <c r="C29">
        <v>4</v>
      </c>
      <c r="D29" s="133">
        <v>0.85</v>
      </c>
      <c r="E29" s="116">
        <v>685000</v>
      </c>
    </row>
    <row r="30" spans="1:15">
      <c r="A30" s="134"/>
      <c r="B30" s="135">
        <v>7700000</v>
      </c>
      <c r="C30" s="24">
        <v>5</v>
      </c>
      <c r="D30" s="136">
        <v>0.95</v>
      </c>
      <c r="E30" s="137">
        <v>1455000</v>
      </c>
    </row>
    <row r="31" spans="1:15">
      <c r="A31" s="8"/>
      <c r="B31" s="132">
        <v>10000000</v>
      </c>
      <c r="C31">
        <v>6</v>
      </c>
      <c r="D31" s="133">
        <v>1</v>
      </c>
      <c r="E31" s="116">
        <v>1955000</v>
      </c>
    </row>
    <row r="32" spans="1:15">
      <c r="A32" s="127" t="s">
        <v>39</v>
      </c>
      <c r="B32" s="128">
        <v>0</v>
      </c>
      <c r="C32" s="129">
        <v>7</v>
      </c>
      <c r="D32" s="130">
        <v>0</v>
      </c>
      <c r="E32" s="131"/>
    </row>
    <row r="33" spans="1:5">
      <c r="A33" s="8"/>
      <c r="B33" s="132">
        <v>1100001</v>
      </c>
      <c r="C33">
        <v>8</v>
      </c>
      <c r="D33" s="133">
        <v>1</v>
      </c>
      <c r="E33" s="116">
        <v>1100000</v>
      </c>
    </row>
    <row r="34" spans="1:5">
      <c r="A34" s="8"/>
      <c r="B34" s="132">
        <v>3300000</v>
      </c>
      <c r="C34">
        <v>9</v>
      </c>
      <c r="D34" s="133">
        <v>0.75</v>
      </c>
      <c r="E34" s="116">
        <v>275000</v>
      </c>
    </row>
    <row r="35" spans="1:5">
      <c r="A35" s="8"/>
      <c r="B35" s="132">
        <v>4100000</v>
      </c>
      <c r="C35">
        <v>10</v>
      </c>
      <c r="D35" s="133">
        <v>0.85</v>
      </c>
      <c r="E35" s="116">
        <v>685000</v>
      </c>
    </row>
    <row r="36" spans="1:5">
      <c r="A36" s="8"/>
      <c r="B36" s="132">
        <v>7700000</v>
      </c>
      <c r="C36">
        <v>11</v>
      </c>
      <c r="D36" s="133">
        <v>0.95</v>
      </c>
      <c r="E36" s="116">
        <v>1455000</v>
      </c>
    </row>
    <row r="37" spans="1:5">
      <c r="A37" s="138"/>
      <c r="B37" s="139">
        <v>10000000</v>
      </c>
      <c r="C37" s="140">
        <v>12</v>
      </c>
      <c r="D37" s="141">
        <v>1</v>
      </c>
      <c r="E37" s="142">
        <v>1955000</v>
      </c>
    </row>
  </sheetData>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新国保世帯用入力 </vt:lpstr>
      <vt:lpstr>リスト</vt:lpstr>
      <vt:lpstr>年金所得への変更用</vt:lpstr>
      <vt:lpstr>A</vt:lpstr>
      <vt:lpstr>B</vt:lpstr>
      <vt:lpstr>D</vt:lpstr>
      <vt:lpstr>E</vt:lpstr>
      <vt:lpstr>F</vt:lpstr>
      <vt:lpstr>G</vt:lpstr>
      <vt:lpstr>H</vt:lpstr>
      <vt:lpstr>I</vt:lpstr>
      <vt:lpstr>'新国保世帯用入力 '!Print_Area</vt:lpstr>
      <vt:lpstr>国保に入らない</vt:lpstr>
      <vt:lpstr>国保加入者</vt:lpstr>
      <vt:lpstr>国保加入者１</vt:lpstr>
    </vt:vector>
  </TitlesOfParts>
  <Company>波佐見町役場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一瀬　若菜</dc:creator>
  <cp:lastModifiedBy>wakana ichinose</cp:lastModifiedBy>
  <cp:lastPrinted>2026-04-17T03:28:24Z</cp:lastPrinted>
  <dcterms:created xsi:type="dcterms:W3CDTF">2022-12-14T02:21:01Z</dcterms:created>
  <dcterms:modified xsi:type="dcterms:W3CDTF">2026-04-17T03:34:47Z</dcterms:modified>
</cp:coreProperties>
</file>